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'Položky'!$A$1:$G$162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<sst xmlns="http://schemas.openxmlformats.org/spreadsheetml/2006/main" count="305" uniqueCount="221">
  <si>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</si>
  <si>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</si>
  <si>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</si>
  <si>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</si>
  <si>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</si>
  <si>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</si>
  <si>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</si>
  <si>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</si>
  <si>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</si>
  <si>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</si>
  <si>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</si>
  <si>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</si>
  <si>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</si>
  <si>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</si>
  <si>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</si>
  <si>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</si>
  <si>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</si>
  <si>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</si>
  <si>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</si>
  <si>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</si>
  <si>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</si>
  <si>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</si>
  <si>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</si>
  <si>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</si>
  <si>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</si>
  <si>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</si>
  <si>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</si>
  <si>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</si>
  <si>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</si>
  <si>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</si>
  <si>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</si>
  <si>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</si>
  <si>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</si>
  <si>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</si>
  <si>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</si>
  <si>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</si>
  <si>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</si>
  <si>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</si>
  <si>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</si>
  <si>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</si>
  <si>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</si>
  <si>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</si>
  <si>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</si>
  <si>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</si>
  <si>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</si>
  <si>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</si>
  <si>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</si>
  <si>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</si>
  <si>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</si>
  <si>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</si>
  <si>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</si>
  <si>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</si>
  <si>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</si>
  <si>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</si>
  <si>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</si>
  <si>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</si>
  <si>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</si>
  <si>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</si>
  <si>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</si>
  <si>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</si>
  <si>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</si>
  <si>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</si>
  <si>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</si>
  <si>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</si>
  <si>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</si>
  <si>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</si>
  <si>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</si>
  <si>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</si>
  <si>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</si>
  <si>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</si>
  <si>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</si>
  <si>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</si>
  <si>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</si>
  <si>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</si>
  <si>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</si>
  <si>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</si>
  <si>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132201202R00</t>
  </si>
  <si>
    <t xml:space="preserve">Hloubení rýh šířky do 200 cm v hor.3 do 1000 m3 </t>
  </si>
  <si>
    <t>m3</t>
  </si>
  <si>
    <t>KD1:</t>
  </si>
  <si>
    <t>3,50*1,10*(1,78+1,87)*1/2</t>
  </si>
  <si>
    <t>51,50*1,10*(1,87+1,0)*1/2</t>
  </si>
  <si>
    <t>19,0*1,10*(1,0+0,77)*1/2</t>
  </si>
  <si>
    <t>13,0*1,10*(0,77+0,61)*1/2</t>
  </si>
  <si>
    <t>rozšíření pro šachty:</t>
  </si>
  <si>
    <t>2,50*(2,50-1,10)*(1,87+1,39+0,77+0,61)</t>
  </si>
  <si>
    <t>přípojky:</t>
  </si>
  <si>
    <t>2,00*0,90*(1,30+1,13+0,96)</t>
  </si>
  <si>
    <t>151101101R00</t>
  </si>
  <si>
    <t xml:space="preserve">Pažení a rozepření stěn rýh - příložné - hl. do 2m </t>
  </si>
  <si>
    <t>m2</t>
  </si>
  <si>
    <t>151101111R00</t>
  </si>
  <si>
    <t xml:space="preserve">Odstranění pažení stěn rýh - příložné - hl. do 2 m </t>
  </si>
  <si>
    <t>161101101R00</t>
  </si>
  <si>
    <t xml:space="preserve">Svislé přemístění výkopku z hor.1-4 do 2,5 m </t>
  </si>
  <si>
    <t>162601102R00</t>
  </si>
  <si>
    <t xml:space="preserve">Vodorovné přemístění výkopku z hor.1-4 do 5000 m </t>
  </si>
  <si>
    <t>202,81</t>
  </si>
  <si>
    <t>174101101R00</t>
  </si>
  <si>
    <t xml:space="preserve">Zásyp jam, rýh, šachet se zhutněním </t>
  </si>
  <si>
    <t>zásyp na úroven PT:</t>
  </si>
  <si>
    <t>175101101R00</t>
  </si>
  <si>
    <t xml:space="preserve">Obsyp potrubí bez prohození sypaniny </t>
  </si>
  <si>
    <t>obsyp pískem ,písek  v dodávce:</t>
  </si>
  <si>
    <t>potrubí DN 250mm:</t>
  </si>
  <si>
    <t>-1*(87,0+36,50)*5,64*0,01</t>
  </si>
  <si>
    <t xml:space="preserve">Dodávka písek kopaný </t>
  </si>
  <si>
    <t>t</t>
  </si>
  <si>
    <t>78,50*1,89</t>
  </si>
  <si>
    <t xml:space="preserve">Poplatek za uložení na skládce </t>
  </si>
  <si>
    <t>130,74*1,80</t>
  </si>
  <si>
    <t>45</t>
  </si>
  <si>
    <t>Podkladní a vedlejší konstrukce</t>
  </si>
  <si>
    <t>451573111R00</t>
  </si>
  <si>
    <t xml:space="preserve">Lože pod potrubí ze štěrkopísku do 63 mm </t>
  </si>
  <si>
    <t>87</t>
  </si>
  <si>
    <t>Potrubí z trub z plastických hmot</t>
  </si>
  <si>
    <t>871313121R00</t>
  </si>
  <si>
    <t xml:space="preserve">Montáž trub z plastu, gumový kroužek, DN 150 </t>
  </si>
  <si>
    <t>m</t>
  </si>
  <si>
    <t>871373121R00</t>
  </si>
  <si>
    <t xml:space="preserve">Montáž trub z plastu, gumový kroužek, DN 300 </t>
  </si>
  <si>
    <t>877365221U00</t>
  </si>
  <si>
    <t xml:space="preserve">MTŽ tvar PVC-syst KG dvouos DN250 </t>
  </si>
  <si>
    <t>kus</t>
  </si>
  <si>
    <t>PC 87-01</t>
  </si>
  <si>
    <t xml:space="preserve">Dodávka  potrubí SN8 DN 125mm </t>
  </si>
  <si>
    <t>PC 87-02</t>
  </si>
  <si>
    <t>PC 87-03</t>
  </si>
  <si>
    <t>89</t>
  </si>
  <si>
    <t>Ostatní konstrukce na trubním vedení</t>
  </si>
  <si>
    <t>PC 89-01</t>
  </si>
  <si>
    <t xml:space="preserve">Zkouška těsnosti kanalizace DN 125-250mm </t>
  </si>
  <si>
    <t>998276101R00</t>
  </si>
  <si>
    <t xml:space="preserve">Přesun hmot, trubní vedení plastová, otevř. výkop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</si>
  <si>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</si>
  <si>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</si>
  <si>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</si>
  <si>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</si>
  <si>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</si>
  <si>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</si>
  <si>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</si>
  <si>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</si>
  <si>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Dodávka  potrubí SN8 DN 160mm </t>
  </si>
  <si>
    <t xml:space="preserve">Dodávka tvarovky PP SN8 odbočka 160/125 </t>
  </si>
  <si>
    <t xml:space="preserve">Dodávka tvarovky PP SN8 koleno 125 </t>
  </si>
  <si>
    <t xml:space="preserve">Dodávka tvarovky PP SN8 koleno 160 </t>
  </si>
  <si>
    <t>MTŽ tvar lapač splavenin kompozit DN 110/125</t>
  </si>
  <si>
    <t>PC 87-06</t>
  </si>
  <si>
    <t>PC 87-05</t>
  </si>
  <si>
    <t>PC 87-04</t>
  </si>
  <si>
    <t xml:space="preserve">Dodávka lapače splavenin kompozit DN 110/125mm </t>
  </si>
  <si>
    <t>11</t>
  </si>
  <si>
    <t>112101101R00</t>
  </si>
  <si>
    <t>Kácení list stromů o průměru kmene 10-30cm</t>
  </si>
  <si>
    <t>112111111R00</t>
  </si>
  <si>
    <t>Spálení větví</t>
  </si>
  <si>
    <t>112201101R00</t>
  </si>
  <si>
    <t>Odsranění pařezů</t>
  </si>
  <si>
    <t>Přípravné a přidružené práce</t>
  </si>
  <si>
    <t>SO 04</t>
  </si>
  <si>
    <t>I etapa</t>
  </si>
  <si>
    <t>I. etapa</t>
  </si>
  <si>
    <t>dešťová 0,6*1,10*35</t>
  </si>
  <si>
    <t>dešťová 2*1,10*35</t>
  </si>
  <si>
    <t>0,6*0,3*(35+6)</t>
  </si>
  <si>
    <t>splašková 0,6*1,5*6</t>
  </si>
  <si>
    <t>splašková 2*1,5*6</t>
  </si>
  <si>
    <t>splašková 0,6*1,2*6</t>
  </si>
  <si>
    <t>dešťová 0,6*0,8*35</t>
  </si>
  <si>
    <t>dešťová odpočet potr DN 125 3,14*0,0625*0,0625*18</t>
  </si>
  <si>
    <t>dešťová odpočet potr DN 160 3,14*0,08*0,08*(35-18)</t>
  </si>
  <si>
    <t>splašková odpočet potr DN 160 3,14*0,08*0,08*6</t>
  </si>
  <si>
    <t>6,7*1,85</t>
  </si>
  <si>
    <t>PC 87-07</t>
  </si>
  <si>
    <t>Dodávka tvarovky PP SN8 redukce 200/160</t>
  </si>
  <si>
    <t>211531111R00</t>
  </si>
  <si>
    <t xml:space="preserve">Výplň odvodňovacích žeber kam. hrubě drcen. 63 mm </t>
  </si>
  <si>
    <t>211971110R00</t>
  </si>
  <si>
    <t xml:space="preserve">Opláštění potrubí z geotextilie </t>
  </si>
  <si>
    <t>odpočet potrubí -3,14*0,15*0,15*12</t>
  </si>
  <si>
    <t>212572121R00</t>
  </si>
  <si>
    <t xml:space="preserve">Lože trativodu z kameniva drobného těženého </t>
  </si>
  <si>
    <t>PC 21-01</t>
  </si>
  <si>
    <t xml:space="preserve">Dodávka geotextilie filtrační  500g/m2 </t>
  </si>
  <si>
    <t>2*3,14*0,15*12</t>
  </si>
  <si>
    <t>2*3,14*0,15*12*1,05</t>
  </si>
  <si>
    <t xml:space="preserve">Dodávka  potrubí SN8 DN 300mm </t>
  </si>
  <si>
    <t>Dodávka tvarovky PP SN8 redukce 160/225</t>
  </si>
  <si>
    <t>Dodávka tvarovky PP SN8 redukce 300/225</t>
  </si>
  <si>
    <t xml:space="preserve">Dodávka tvarovky PP SN8 redukce 125/160 </t>
  </si>
  <si>
    <t>Dodávka štěrkopísek netříděný 0/63 mm</t>
  </si>
  <si>
    <t>Dodávka kamenivo drobné těžené</t>
  </si>
  <si>
    <t>vsak dešť kanalizace DN 300mm:</t>
  </si>
  <si>
    <t>PC 1-05</t>
  </si>
  <si>
    <t>PC 21-04</t>
  </si>
  <si>
    <t>PC 87-08</t>
  </si>
  <si>
    <t>PC 87-09</t>
  </si>
  <si>
    <t>PC 87-10</t>
  </si>
  <si>
    <t>PC 87-11</t>
  </si>
  <si>
    <t xml:space="preserve">1 Zemní práce </t>
  </si>
  <si>
    <t>21</t>
  </si>
  <si>
    <t>Úprava podloží a základové spáry</t>
  </si>
  <si>
    <t>PC 21-02</t>
  </si>
  <si>
    <t>PC 21-03</t>
  </si>
  <si>
    <t>21 Úprava podloží a základové spáry</t>
  </si>
  <si>
    <t xml:space="preserve">45 Podkladní a velejší konstrukce </t>
  </si>
  <si>
    <t>28,38*1,80</t>
  </si>
  <si>
    <t xml:space="preserve">vsak obj dešť kanaliz 1,4*0,1*12 </t>
  </si>
  <si>
    <t xml:space="preserve">1,4*0,95*12 </t>
  </si>
  <si>
    <t>1,68*1,85</t>
  </si>
  <si>
    <t xml:space="preserve">vsak obj dešť kanaliz 1,4*0,2*12 </t>
  </si>
  <si>
    <t>(5,11+3,36)*1,85</t>
  </si>
  <si>
    <t>vsak obj dešť kanaliz dle příl tech zpr</t>
  </si>
  <si>
    <t xml:space="preserve">vsak obj dešť kanaliz 2*1,3*27 </t>
  </si>
  <si>
    <t>Společná část</t>
  </si>
  <si>
    <t>Přípojka kanalizace</t>
  </si>
  <si>
    <t xml:space="preserve">Přípojka kanalizace  </t>
  </si>
  <si>
    <t>Podpora rekonstrukce budovy č. p. 107 na obecní byty</t>
  </si>
  <si>
    <t>Krycí list rozpočtu</t>
  </si>
  <si>
    <t>Příloha č. 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</si>
</sst>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#,##0.0"/>
    <numFmt numFmtId="172" formatCode="0.00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color indexed="9"/>
      <name val="Arial CE"/>
      <family val="2"/>
    </font>
    <font>
      <i/>
      <sz val="9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i/>
      <sz val="8"/>
      <color indexed="9"/>
      <name val="Arial"/>
      <family val="2"/>
    </font>
    <font>
      <sz val="8"/>
      <color indexed="12"/>
      <name val="Arial CE"/>
      <family val="0"/>
    </font>
    <font>
      <sz val="9"/>
      <color indexed="12"/>
      <name val="Arial"/>
      <family val="2"/>
    </font>
    <font>
      <sz val="10"/>
      <color indexed="12"/>
      <name val="Arial CE"/>
      <family val="0"/>
    </font>
    <font>
      <b/>
      <sz val="18"/>
      <name val="Arial"/>
      <family val="2"/>
    </font>
    <font>
      <sz val="18"/>
      <name val="Arial CE"/>
      <family val="0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tted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0" fillId="0" borderId="0">
      <alignment/>
      <protection/>
    </xf>
    <xf numFmtId="0" fontId="0" fillId="10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52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19" borderId="8" applyNumberFormat="0" applyAlignment="0" applyProtection="0"/>
    <xf numFmtId="0" fontId="19" fillId="32" borderId="8" applyNumberFormat="0" applyAlignment="0" applyProtection="0"/>
    <xf numFmtId="0" fontId="20" fillId="32" borderId="9" applyNumberFormat="0" applyAlignment="0" applyProtection="0"/>
    <xf numFmtId="0" fontId="21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4" fillId="37" borderId="10" xfId="0" applyFont="1" applyFill="1" applyBorder="1" applyAlignment="1">
      <alignment horizontal="left"/>
    </xf>
    <xf numFmtId="0" fontId="25" fillId="37" borderId="11" xfId="0" applyFont="1" applyFill="1" applyBorder="1" applyAlignment="1">
      <alignment horizontal="centerContinuous"/>
    </xf>
    <xf numFmtId="49" fontId="26" fillId="37" borderId="12" xfId="0" applyNumberFormat="1" applyFont="1" applyFill="1" applyBorder="1" applyAlignment="1">
      <alignment horizontal="left"/>
    </xf>
    <xf numFmtId="49" fontId="25" fillId="37" borderId="11" xfId="0" applyNumberFormat="1" applyFont="1" applyFill="1" applyBorder="1" applyAlignment="1">
      <alignment horizontal="centerContinuous"/>
    </xf>
    <xf numFmtId="0" fontId="25" fillId="0" borderId="13" xfId="0" applyFont="1" applyBorder="1" applyAlignment="1">
      <alignment/>
    </xf>
    <xf numFmtId="49" fontId="25" fillId="0" borderId="14" xfId="0" applyNumberFormat="1" applyFont="1" applyBorder="1" applyAlignment="1">
      <alignment horizontal="left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9" fontId="25" fillId="0" borderId="17" xfId="0" applyNumberFormat="1" applyFont="1" applyBorder="1" applyAlignment="1">
      <alignment/>
    </xf>
    <xf numFmtId="49" fontId="25" fillId="0" borderId="16" xfId="0" applyNumberFormat="1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4" fillId="0" borderId="15" xfId="0" applyFont="1" applyBorder="1" applyAlignment="1">
      <alignment/>
    </xf>
    <xf numFmtId="49" fontId="25" fillId="0" borderId="19" xfId="0" applyNumberFormat="1" applyFont="1" applyBorder="1" applyAlignment="1">
      <alignment horizontal="left"/>
    </xf>
    <xf numFmtId="49" fontId="24" fillId="37" borderId="15" xfId="0" applyNumberFormat="1" applyFont="1" applyFill="1" applyBorder="1" applyAlignment="1">
      <alignment/>
    </xf>
    <xf numFmtId="49" fontId="23" fillId="37" borderId="16" xfId="0" applyNumberFormat="1" applyFont="1" applyFill="1" applyBorder="1" applyAlignment="1">
      <alignment/>
    </xf>
    <xf numFmtId="49" fontId="24" fillId="37" borderId="17" xfId="0" applyNumberFormat="1" applyFont="1" applyFill="1" applyBorder="1" applyAlignment="1">
      <alignment/>
    </xf>
    <xf numFmtId="49" fontId="23" fillId="37" borderId="17" xfId="0" applyNumberFormat="1" applyFont="1" applyFill="1" applyBorder="1" applyAlignment="1">
      <alignment/>
    </xf>
    <xf numFmtId="0" fontId="25" fillId="0" borderId="18" xfId="0" applyFont="1" applyFill="1" applyBorder="1" applyAlignment="1">
      <alignment/>
    </xf>
    <xf numFmtId="3" fontId="25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37" borderId="20" xfId="0" applyNumberFormat="1" applyFont="1" applyFill="1" applyBorder="1" applyAlignment="1">
      <alignment/>
    </xf>
    <xf numFmtId="49" fontId="23" fillId="37" borderId="21" xfId="0" applyNumberFormat="1" applyFont="1" applyFill="1" applyBorder="1" applyAlignment="1">
      <alignment/>
    </xf>
    <xf numFmtId="49" fontId="25" fillId="0" borderId="18" xfId="0" applyNumberFormat="1" applyFont="1" applyBorder="1" applyAlignment="1">
      <alignment horizontal="left"/>
    </xf>
    <xf numFmtId="0" fontId="25" fillId="0" borderId="22" xfId="0" applyFont="1" applyBorder="1" applyAlignment="1">
      <alignment/>
    </xf>
    <xf numFmtId="0" fontId="25" fillId="0" borderId="18" xfId="0" applyNumberFormat="1" applyFont="1" applyBorder="1" applyAlignment="1">
      <alignment/>
    </xf>
    <xf numFmtId="0" fontId="25" fillId="0" borderId="23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8" xfId="0" applyFont="1" applyBorder="1" applyAlignment="1">
      <alignment/>
    </xf>
    <xf numFmtId="0" fontId="25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5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2" fillId="0" borderId="25" xfId="0" applyFont="1" applyBorder="1" applyAlignment="1">
      <alignment horizontal="centerContinuous" vertical="center"/>
    </xf>
    <xf numFmtId="0" fontId="27" fillId="0" borderId="26" xfId="0" applyFont="1" applyBorder="1" applyAlignment="1">
      <alignment horizontal="centerContinuous" vertical="center"/>
    </xf>
    <xf numFmtId="0" fontId="23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4" fillId="37" borderId="28" xfId="0" applyFont="1" applyFill="1" applyBorder="1" applyAlignment="1">
      <alignment horizontal="left"/>
    </xf>
    <xf numFmtId="0" fontId="23" fillId="37" borderId="29" xfId="0" applyFont="1" applyFill="1" applyBorder="1" applyAlignment="1">
      <alignment horizontal="left"/>
    </xf>
    <xf numFmtId="0" fontId="23" fillId="37" borderId="30" xfId="0" applyFont="1" applyFill="1" applyBorder="1" applyAlignment="1">
      <alignment horizontal="centerContinuous"/>
    </xf>
    <xf numFmtId="0" fontId="24" fillId="37" borderId="29" xfId="0" applyFont="1" applyFill="1" applyBorder="1" applyAlignment="1">
      <alignment horizontal="centerContinuous"/>
    </xf>
    <xf numFmtId="0" fontId="23" fillId="37" borderId="29" xfId="0" applyFont="1" applyFill="1" applyBorder="1" applyAlignment="1">
      <alignment horizontal="centerContinuous"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3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2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7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2" xfId="0" applyFont="1" applyBorder="1" applyAlignment="1">
      <alignment shrinkToFit="1"/>
    </xf>
    <xf numFmtId="0" fontId="23" fillId="0" borderId="34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5" xfId="0" applyNumberFormat="1" applyFont="1" applyBorder="1" applyAlignment="1">
      <alignment/>
    </xf>
    <xf numFmtId="0" fontId="23" fillId="0" borderId="36" xfId="0" applyFont="1" applyBorder="1" applyAlignment="1">
      <alignment/>
    </xf>
    <xf numFmtId="3" fontId="23" fillId="0" borderId="37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37" borderId="10" xfId="0" applyFont="1" applyFill="1" applyBorder="1" applyAlignment="1">
      <alignment/>
    </xf>
    <xf numFmtId="0" fontId="24" fillId="37" borderId="12" xfId="0" applyFont="1" applyFill="1" applyBorder="1" applyAlignment="1">
      <alignment/>
    </xf>
    <xf numFmtId="0" fontId="24" fillId="37" borderId="11" xfId="0" applyFont="1" applyFill="1" applyBorder="1" applyAlignment="1">
      <alignment/>
    </xf>
    <xf numFmtId="0" fontId="24" fillId="37" borderId="39" xfId="0" applyFont="1" applyFill="1" applyBorder="1" applyAlignment="1">
      <alignment/>
    </xf>
    <xf numFmtId="0" fontId="24" fillId="37" borderId="40" xfId="0" applyFont="1" applyFill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0" xfId="0" applyFont="1" applyBorder="1" applyAlignment="1">
      <alignment horizontal="right"/>
    </xf>
    <xf numFmtId="170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168" fontId="23" fillId="0" borderId="47" xfId="0" applyNumberFormat="1" applyFont="1" applyBorder="1" applyAlignment="1">
      <alignment horizontal="right"/>
    </xf>
    <xf numFmtId="0" fontId="23" fillId="0" borderId="47" xfId="0" applyFont="1" applyBorder="1" applyAlignment="1">
      <alignment/>
    </xf>
    <xf numFmtId="0" fontId="23" fillId="0" borderId="17" xfId="0" applyFont="1" applyBorder="1" applyAlignment="1">
      <alignment/>
    </xf>
    <xf numFmtId="168" fontId="23" fillId="0" borderId="16" xfId="0" applyNumberFormat="1" applyFont="1" applyBorder="1" applyAlignment="1">
      <alignment horizontal="right"/>
    </xf>
    <xf numFmtId="0" fontId="27" fillId="37" borderId="36" xfId="0" applyFont="1" applyFill="1" applyBorder="1" applyAlignment="1">
      <alignment/>
    </xf>
    <xf numFmtId="0" fontId="27" fillId="37" borderId="37" xfId="0" applyFont="1" applyFill="1" applyBorder="1" applyAlignment="1">
      <alignment/>
    </xf>
    <xf numFmtId="0" fontId="27" fillId="37" borderId="38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3" fillId="0" borderId="48" xfId="65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0" xfId="0" applyNumberFormat="1" applyFont="1" applyBorder="1" applyAlignment="1">
      <alignment/>
    </xf>
    <xf numFmtId="49" fontId="24" fillId="0" borderId="51" xfId="65" applyNumberFormat="1" applyFont="1" applyBorder="1">
      <alignment/>
      <protection/>
    </xf>
    <xf numFmtId="49" fontId="23" fillId="0" borderId="51" xfId="65" applyNumberFormat="1" applyFont="1" applyBorder="1">
      <alignment/>
      <protection/>
    </xf>
    <xf numFmtId="49" fontId="23" fillId="0" borderId="51" xfId="65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37" borderId="28" xfId="0" applyNumberFormat="1" applyFont="1" applyFill="1" applyBorder="1" applyAlignment="1">
      <alignment horizontal="center"/>
    </xf>
    <xf numFmtId="0" fontId="24" fillId="37" borderId="29" xfId="0" applyFont="1" applyFill="1" applyBorder="1" applyAlignment="1">
      <alignment horizontal="center"/>
    </xf>
    <xf numFmtId="0" fontId="24" fillId="37" borderId="30" xfId="0" applyFont="1" applyFill="1" applyBorder="1" applyAlignment="1">
      <alignment horizontal="center"/>
    </xf>
    <xf numFmtId="0" fontId="24" fillId="37" borderId="52" xfId="0" applyFont="1" applyFill="1" applyBorder="1" applyAlignment="1">
      <alignment horizontal="center"/>
    </xf>
    <xf numFmtId="0" fontId="24" fillId="37" borderId="53" xfId="0" applyFont="1" applyFill="1" applyBorder="1" applyAlignment="1">
      <alignment horizontal="center"/>
    </xf>
    <xf numFmtId="0" fontId="24" fillId="37" borderId="5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2" xfId="0" applyNumberFormat="1" applyFont="1" applyBorder="1" applyAlignment="1">
      <alignment/>
    </xf>
    <xf numFmtId="0" fontId="24" fillId="37" borderId="28" xfId="0" applyFont="1" applyFill="1" applyBorder="1" applyAlignment="1">
      <alignment/>
    </xf>
    <xf numFmtId="0" fontId="24" fillId="37" borderId="29" xfId="0" applyFont="1" applyFill="1" applyBorder="1" applyAlignment="1">
      <alignment/>
    </xf>
    <xf numFmtId="3" fontId="24" fillId="37" borderId="30" xfId="0" applyNumberFormat="1" applyFont="1" applyFill="1" applyBorder="1" applyAlignment="1">
      <alignment/>
    </xf>
    <xf numFmtId="3" fontId="24" fillId="37" borderId="52" xfId="0" applyNumberFormat="1" applyFont="1" applyFill="1" applyBorder="1" applyAlignment="1">
      <alignment/>
    </xf>
    <xf numFmtId="3" fontId="24" fillId="37" borderId="53" xfId="0" applyNumberFormat="1" applyFont="1" applyFill="1" applyBorder="1" applyAlignment="1">
      <alignment/>
    </xf>
    <xf numFmtId="3" fontId="24" fillId="37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37" borderId="40" xfId="0" applyFont="1" applyFill="1" applyBorder="1" applyAlignment="1">
      <alignment/>
    </xf>
    <xf numFmtId="0" fontId="24" fillId="37" borderId="55" xfId="0" applyFont="1" applyFill="1" applyBorder="1" applyAlignment="1">
      <alignment horizontal="right"/>
    </xf>
    <xf numFmtId="0" fontId="24" fillId="37" borderId="12" xfId="0" applyFont="1" applyFill="1" applyBorder="1" applyAlignment="1">
      <alignment horizontal="right"/>
    </xf>
    <xf numFmtId="0" fontId="24" fillId="37" borderId="11" xfId="0" applyFont="1" applyFill="1" applyBorder="1" applyAlignment="1">
      <alignment horizontal="center"/>
    </xf>
    <xf numFmtId="4" fontId="26" fillId="37" borderId="12" xfId="0" applyNumberFormat="1" applyFont="1" applyFill="1" applyBorder="1" applyAlignment="1">
      <alignment horizontal="right"/>
    </xf>
    <xf numFmtId="4" fontId="26" fillId="37" borderId="40" xfId="0" applyNumberFormat="1" applyFont="1" applyFill="1" applyBorder="1" applyAlignment="1">
      <alignment horizontal="right"/>
    </xf>
    <xf numFmtId="0" fontId="23" fillId="0" borderId="24" xfId="0" applyFont="1" applyBorder="1" applyAlignment="1">
      <alignment/>
    </xf>
    <xf numFmtId="3" fontId="23" fillId="0" borderId="33" xfId="0" applyNumberFormat="1" applyFont="1" applyBorder="1" applyAlignment="1">
      <alignment horizontal="right"/>
    </xf>
    <xf numFmtId="168" fontId="23" fillId="0" borderId="18" xfId="0" applyNumberFormat="1" applyFont="1" applyBorder="1" applyAlignment="1">
      <alignment horizontal="right"/>
    </xf>
    <xf numFmtId="3" fontId="23" fillId="0" borderId="43" xfId="0" applyNumberFormat="1" applyFont="1" applyBorder="1" applyAlignment="1">
      <alignment horizontal="right"/>
    </xf>
    <xf numFmtId="4" fontId="23" fillId="0" borderId="32" xfId="0" applyNumberFormat="1" applyFont="1" applyBorder="1" applyAlignment="1">
      <alignment horizontal="right"/>
    </xf>
    <xf numFmtId="3" fontId="23" fillId="0" borderId="24" xfId="0" applyNumberFormat="1" applyFont="1" applyBorder="1" applyAlignment="1">
      <alignment horizontal="right"/>
    </xf>
    <xf numFmtId="0" fontId="23" fillId="37" borderId="36" xfId="0" applyFont="1" applyFill="1" applyBorder="1" applyAlignment="1">
      <alignment/>
    </xf>
    <xf numFmtId="0" fontId="24" fillId="37" borderId="37" xfId="0" applyFont="1" applyFill="1" applyBorder="1" applyAlignment="1">
      <alignment/>
    </xf>
    <xf numFmtId="0" fontId="23" fillId="37" borderId="37" xfId="0" applyFont="1" applyFill="1" applyBorder="1" applyAlignment="1">
      <alignment/>
    </xf>
    <xf numFmtId="4" fontId="23" fillId="37" borderId="56" xfId="0" applyNumberFormat="1" applyFont="1" applyFill="1" applyBorder="1" applyAlignment="1">
      <alignment/>
    </xf>
    <xf numFmtId="4" fontId="23" fillId="37" borderId="36" xfId="0" applyNumberFormat="1" applyFont="1" applyFill="1" applyBorder="1" applyAlignment="1">
      <alignment/>
    </xf>
    <xf numFmtId="4" fontId="23" fillId="37" borderId="37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65">
      <alignment/>
      <protection/>
    </xf>
    <xf numFmtId="0" fontId="23" fillId="0" borderId="0" xfId="65" applyFont="1">
      <alignment/>
      <protection/>
    </xf>
    <xf numFmtId="0" fontId="32" fillId="0" borderId="0" xfId="65" applyFont="1" applyAlignment="1">
      <alignment horizontal="centerContinuous"/>
      <protection/>
    </xf>
    <xf numFmtId="0" fontId="33" fillId="0" borderId="0" xfId="65" applyFont="1" applyAlignment="1">
      <alignment horizontal="centerContinuous"/>
      <protection/>
    </xf>
    <xf numFmtId="0" fontId="33" fillId="0" borderId="0" xfId="65" applyFont="1" applyAlignment="1">
      <alignment horizontal="right"/>
      <protection/>
    </xf>
    <xf numFmtId="49" fontId="23" fillId="0" borderId="49" xfId="65" applyNumberFormat="1" applyFont="1" applyBorder="1" applyAlignment="1">
      <alignment horizontal="left"/>
      <protection/>
    </xf>
    <xf numFmtId="0" fontId="23" fillId="0" borderId="50" xfId="65" applyFont="1" applyBorder="1">
      <alignment/>
      <protection/>
    </xf>
    <xf numFmtId="0" fontId="23" fillId="0" borderId="51" xfId="65" applyFont="1" applyBorder="1">
      <alignment/>
      <protection/>
    </xf>
    <xf numFmtId="0" fontId="25" fillId="0" borderId="0" xfId="65" applyFont="1">
      <alignment/>
      <protection/>
    </xf>
    <xf numFmtId="0" fontId="23" fillId="0" borderId="0" xfId="65" applyFont="1" applyAlignment="1">
      <alignment horizontal="right"/>
      <protection/>
    </xf>
    <xf numFmtId="0" fontId="23" fillId="0" borderId="0" xfId="65" applyFont="1" applyAlignment="1">
      <alignment/>
      <protection/>
    </xf>
    <xf numFmtId="49" fontId="25" fillId="37" borderId="18" xfId="65" applyNumberFormat="1" applyFont="1" applyFill="1" applyBorder="1">
      <alignment/>
      <protection/>
    </xf>
    <xf numFmtId="0" fontId="25" fillId="37" borderId="16" xfId="65" applyFont="1" applyFill="1" applyBorder="1" applyAlignment="1">
      <alignment horizontal="center"/>
      <protection/>
    </xf>
    <xf numFmtId="0" fontId="25" fillId="37" borderId="16" xfId="65" applyNumberFormat="1" applyFont="1" applyFill="1" applyBorder="1" applyAlignment="1">
      <alignment horizontal="center"/>
      <protection/>
    </xf>
    <xf numFmtId="0" fontId="25" fillId="37" borderId="18" xfId="65" applyFont="1" applyFill="1" applyBorder="1" applyAlignment="1">
      <alignment horizontal="center"/>
      <protection/>
    </xf>
    <xf numFmtId="0" fontId="24" fillId="0" borderId="57" xfId="65" applyFont="1" applyBorder="1" applyAlignment="1">
      <alignment horizontal="center"/>
      <protection/>
    </xf>
    <xf numFmtId="49" fontId="24" fillId="0" borderId="57" xfId="65" applyNumberFormat="1" applyFont="1" applyBorder="1" applyAlignment="1">
      <alignment horizontal="left"/>
      <protection/>
    </xf>
    <xf numFmtId="0" fontId="24" fillId="0" borderId="58" xfId="65" applyFont="1" applyBorder="1">
      <alignment/>
      <protection/>
    </xf>
    <xf numFmtId="0" fontId="23" fillId="0" borderId="17" xfId="65" applyFont="1" applyBorder="1" applyAlignment="1">
      <alignment horizontal="center"/>
      <protection/>
    </xf>
    <xf numFmtId="0" fontId="23" fillId="0" borderId="17" xfId="65" applyNumberFormat="1" applyFont="1" applyBorder="1" applyAlignment="1">
      <alignment horizontal="right"/>
      <protection/>
    </xf>
    <xf numFmtId="0" fontId="23" fillId="0" borderId="16" xfId="65" applyNumberFormat="1" applyFont="1" applyBorder="1">
      <alignment/>
      <protection/>
    </xf>
    <xf numFmtId="0" fontId="0" fillId="0" borderId="0" xfId="65" applyNumberFormat="1">
      <alignment/>
      <protection/>
    </xf>
    <xf numFmtId="0" fontId="34" fillId="0" borderId="0" xfId="65" applyFont="1">
      <alignment/>
      <protection/>
    </xf>
    <xf numFmtId="0" fontId="35" fillId="0" borderId="59" xfId="65" applyFont="1" applyBorder="1" applyAlignment="1">
      <alignment horizontal="center" vertical="top"/>
      <protection/>
    </xf>
    <xf numFmtId="49" fontId="35" fillId="0" borderId="59" xfId="65" applyNumberFormat="1" applyFont="1" applyBorder="1" applyAlignment="1">
      <alignment horizontal="left" vertical="top"/>
      <protection/>
    </xf>
    <xf numFmtId="0" fontId="35" fillId="0" borderId="59" xfId="65" applyFont="1" applyBorder="1" applyAlignment="1">
      <alignment vertical="top" wrapText="1"/>
      <protection/>
    </xf>
    <xf numFmtId="49" fontId="35" fillId="0" borderId="59" xfId="65" applyNumberFormat="1" applyFont="1" applyBorder="1" applyAlignment="1">
      <alignment horizontal="center" shrinkToFit="1"/>
      <protection/>
    </xf>
    <xf numFmtId="4" fontId="35" fillId="0" borderId="59" xfId="65" applyNumberFormat="1" applyFont="1" applyBorder="1" applyAlignment="1">
      <alignment horizontal="right"/>
      <protection/>
    </xf>
    <xf numFmtId="4" fontId="35" fillId="0" borderId="59" xfId="65" applyNumberFormat="1" applyFont="1" applyBorder="1">
      <alignment/>
      <protection/>
    </xf>
    <xf numFmtId="0" fontId="34" fillId="0" borderId="0" xfId="65" applyFont="1">
      <alignment/>
      <protection/>
    </xf>
    <xf numFmtId="0" fontId="25" fillId="0" borderId="57" xfId="65" applyFont="1" applyBorder="1" applyAlignment="1">
      <alignment horizontal="center"/>
      <protection/>
    </xf>
    <xf numFmtId="0" fontId="36" fillId="0" borderId="0" xfId="65" applyFont="1" applyAlignment="1">
      <alignment wrapText="1"/>
      <protection/>
    </xf>
    <xf numFmtId="49" fontId="25" fillId="0" borderId="57" xfId="65" applyNumberFormat="1" applyFont="1" applyBorder="1" applyAlignment="1">
      <alignment horizontal="right"/>
      <protection/>
    </xf>
    <xf numFmtId="4" fontId="37" fillId="38" borderId="60" xfId="65" applyNumberFormat="1" applyFont="1" applyFill="1" applyBorder="1" applyAlignment="1">
      <alignment horizontal="right" wrapText="1"/>
      <protection/>
    </xf>
    <xf numFmtId="0" fontId="37" fillId="0" borderId="21" xfId="0" applyFont="1" applyBorder="1" applyAlignment="1">
      <alignment horizontal="right"/>
    </xf>
    <xf numFmtId="0" fontId="23" fillId="37" borderId="18" xfId="65" applyFont="1" applyFill="1" applyBorder="1" applyAlignment="1">
      <alignment horizontal="center"/>
      <protection/>
    </xf>
    <xf numFmtId="49" fontId="39" fillId="37" borderId="18" xfId="65" applyNumberFormat="1" applyFont="1" applyFill="1" applyBorder="1" applyAlignment="1">
      <alignment horizontal="left"/>
      <protection/>
    </xf>
    <xf numFmtId="0" fontId="39" fillId="37" borderId="58" xfId="65" applyFont="1" applyFill="1" applyBorder="1">
      <alignment/>
      <protection/>
    </xf>
    <xf numFmtId="0" fontId="23" fillId="37" borderId="17" xfId="65" applyFont="1" applyFill="1" applyBorder="1" applyAlignment="1">
      <alignment horizontal="center"/>
      <protection/>
    </xf>
    <xf numFmtId="4" fontId="23" fillId="37" borderId="17" xfId="65" applyNumberFormat="1" applyFont="1" applyFill="1" applyBorder="1" applyAlignment="1">
      <alignment horizontal="right"/>
      <protection/>
    </xf>
    <xf numFmtId="4" fontId="23" fillId="37" borderId="16" xfId="65" applyNumberFormat="1" applyFont="1" applyFill="1" applyBorder="1" applyAlignment="1">
      <alignment horizontal="right"/>
      <protection/>
    </xf>
    <xf numFmtId="4" fontId="24" fillId="37" borderId="18" xfId="65" applyNumberFormat="1" applyFont="1" applyFill="1" applyBorder="1">
      <alignment/>
      <protection/>
    </xf>
    <xf numFmtId="3" fontId="0" fillId="0" borderId="0" xfId="65" applyNumberFormat="1">
      <alignment/>
      <protection/>
    </xf>
    <xf numFmtId="0" fontId="0" fillId="0" borderId="0" xfId="65" applyAlignment="1">
      <alignment horizontal="right"/>
      <protection/>
    </xf>
    <xf numFmtId="49" fontId="25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4" fontId="37" fillId="0" borderId="57" xfId="65" applyNumberFormat="1" applyFont="1" applyBorder="1" applyAlignment="1">
      <alignment horizontal="right"/>
      <protection/>
    </xf>
    <xf numFmtId="49" fontId="35" fillId="0" borderId="62" xfId="65" applyNumberFormat="1" applyFont="1" applyBorder="1" applyAlignment="1">
      <alignment horizontal="center" shrinkToFit="1"/>
      <protection/>
    </xf>
    <xf numFmtId="4" fontId="37" fillId="38" borderId="63" xfId="65" applyNumberFormat="1" applyFont="1" applyFill="1" applyBorder="1" applyAlignment="1">
      <alignment horizontal="right" wrapText="1"/>
      <protection/>
    </xf>
    <xf numFmtId="0" fontId="40" fillId="0" borderId="59" xfId="65" applyFont="1" applyBorder="1" applyAlignment="1">
      <alignment horizontal="center" vertical="top"/>
      <protection/>
    </xf>
    <xf numFmtId="49" fontId="40" fillId="0" borderId="59" xfId="65" applyNumberFormat="1" applyFont="1" applyBorder="1" applyAlignment="1">
      <alignment horizontal="left" vertical="top"/>
      <protection/>
    </xf>
    <xf numFmtId="0" fontId="40" fillId="0" borderId="59" xfId="65" applyFont="1" applyBorder="1" applyAlignment="1">
      <alignment vertical="top" wrapText="1"/>
      <protection/>
    </xf>
    <xf numFmtId="49" fontId="40" fillId="0" borderId="59" xfId="65" applyNumberFormat="1" applyFont="1" applyBorder="1" applyAlignment="1">
      <alignment horizontal="center" shrinkToFit="1"/>
      <protection/>
    </xf>
    <xf numFmtId="4" fontId="40" fillId="38" borderId="60" xfId="65" applyNumberFormat="1" applyFont="1" applyFill="1" applyBorder="1" applyAlignment="1">
      <alignment horizontal="right" wrapText="1"/>
      <protection/>
    </xf>
    <xf numFmtId="4" fontId="40" fillId="0" borderId="59" xfId="65" applyNumberFormat="1" applyFont="1" applyBorder="1" applyAlignment="1">
      <alignment horizontal="right"/>
      <protection/>
    </xf>
    <xf numFmtId="4" fontId="40" fillId="0" borderId="59" xfId="65" applyNumberFormat="1" applyFont="1" applyBorder="1">
      <alignment/>
      <protection/>
    </xf>
    <xf numFmtId="0" fontId="2" fillId="0" borderId="0" xfId="65" applyFont="1">
      <alignment/>
      <protection/>
    </xf>
    <xf numFmtId="0" fontId="41" fillId="0" borderId="0" xfId="65" applyFont="1">
      <alignment/>
      <protection/>
    </xf>
    <xf numFmtId="0" fontId="41" fillId="0" borderId="0" xfId="65" applyFont="1">
      <alignment/>
      <protection/>
    </xf>
    <xf numFmtId="49" fontId="42" fillId="0" borderId="57" xfId="65" applyNumberFormat="1" applyFont="1" applyBorder="1" applyAlignment="1">
      <alignment horizontal="right"/>
      <protection/>
    </xf>
    <xf numFmtId="0" fontId="43" fillId="38" borderId="41" xfId="65" applyFont="1" applyFill="1" applyBorder="1" applyAlignment="1">
      <alignment horizontal="left" wrapText="1"/>
      <protection/>
    </xf>
    <xf numFmtId="0" fontId="43" fillId="0" borderId="21" xfId="0" applyFont="1" applyBorder="1" applyAlignment="1">
      <alignment horizontal="right"/>
    </xf>
    <xf numFmtId="0" fontId="45" fillId="0" borderId="0" xfId="65" applyFont="1" applyAlignment="1">
      <alignment wrapText="1"/>
      <protection/>
    </xf>
    <xf numFmtId="0" fontId="25" fillId="0" borderId="48" xfId="65" applyFont="1" applyBorder="1" applyAlignment="1">
      <alignment horizontal="left"/>
      <protection/>
    </xf>
    <xf numFmtId="0" fontId="24" fillId="0" borderId="4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4" fontId="37" fillId="38" borderId="57" xfId="65" applyNumberFormat="1" applyFont="1" applyFill="1" applyBorder="1" applyAlignment="1">
      <alignment horizontal="right" wrapText="1"/>
      <protection/>
    </xf>
    <xf numFmtId="0" fontId="46" fillId="0" borderId="0" xfId="65" applyFont="1">
      <alignment/>
      <protection/>
    </xf>
    <xf numFmtId="49" fontId="37" fillId="38" borderId="41" xfId="65" applyNumberFormat="1" applyFont="1" applyFill="1" applyBorder="1" applyAlignment="1">
      <alignment horizontal="left" wrapText="1"/>
      <protection/>
    </xf>
    <xf numFmtId="49" fontId="38" fillId="0" borderId="21" xfId="0" applyNumberFormat="1" applyFont="1" applyBorder="1" applyAlignment="1">
      <alignment horizontal="left" wrapText="1"/>
    </xf>
    <xf numFmtId="49" fontId="43" fillId="38" borderId="41" xfId="65" applyNumberFormat="1" applyFont="1" applyFill="1" applyBorder="1" applyAlignment="1">
      <alignment horizontal="left" wrapText="1"/>
      <protection/>
    </xf>
    <xf numFmtId="49" fontId="44" fillId="0" borderId="21" xfId="0" applyNumberFormat="1" applyFont="1" applyBorder="1" applyAlignment="1">
      <alignment horizontal="left" wrapText="1"/>
    </xf>
    <xf numFmtId="2" fontId="40" fillId="0" borderId="0" xfId="65" applyNumberFormat="1" applyFont="1">
      <alignment/>
      <protection/>
    </xf>
    <xf numFmtId="49" fontId="47" fillId="0" borderId="57" xfId="65" applyNumberFormat="1" applyFont="1" applyBorder="1" applyAlignment="1">
      <alignment horizontal="right"/>
      <protection/>
    </xf>
    <xf numFmtId="0" fontId="37" fillId="0" borderId="0" xfId="65" applyFont="1">
      <alignment/>
      <protection/>
    </xf>
    <xf numFmtId="0" fontId="48" fillId="0" borderId="0" xfId="65" applyFont="1">
      <alignment/>
      <protection/>
    </xf>
    <xf numFmtId="0" fontId="37" fillId="0" borderId="0" xfId="65" applyFont="1" applyAlignment="1">
      <alignment wrapText="1"/>
      <protection/>
    </xf>
    <xf numFmtId="0" fontId="48" fillId="0" borderId="0" xfId="65" applyFont="1">
      <alignment/>
      <protection/>
    </xf>
    <xf numFmtId="0" fontId="37" fillId="0" borderId="0" xfId="0" applyFont="1" applyAlignment="1">
      <alignment/>
    </xf>
    <xf numFmtId="4" fontId="35" fillId="38" borderId="60" xfId="65" applyNumberFormat="1" applyFont="1" applyFill="1" applyBorder="1" applyAlignment="1">
      <alignment horizontal="right" wrapText="1"/>
      <protection/>
    </xf>
    <xf numFmtId="0" fontId="24" fillId="0" borderId="13" xfId="65" applyFont="1" applyBorder="1" applyAlignment="1">
      <alignment horizontal="center"/>
      <protection/>
    </xf>
    <xf numFmtId="0" fontId="35" fillId="0" borderId="59" xfId="65" applyFont="1" applyBorder="1" applyAlignment="1">
      <alignment horizontal="center"/>
      <protection/>
    </xf>
    <xf numFmtId="0" fontId="35" fillId="0" borderId="57" xfId="65" applyFont="1" applyBorder="1" applyAlignment="1">
      <alignment horizontal="center"/>
      <protection/>
    </xf>
    <xf numFmtId="0" fontId="35" fillId="0" borderId="13" xfId="65" applyFont="1" applyBorder="1" applyAlignment="1">
      <alignment horizontal="center"/>
      <protection/>
    </xf>
    <xf numFmtId="0" fontId="35" fillId="0" borderId="18" xfId="65" applyFont="1" applyBorder="1" applyAlignment="1">
      <alignment horizontal="center"/>
      <protection/>
    </xf>
    <xf numFmtId="0" fontId="40" fillId="0" borderId="59" xfId="65" applyFont="1" applyBorder="1" applyAlignment="1">
      <alignment horizontal="center"/>
      <protection/>
    </xf>
    <xf numFmtId="0" fontId="40" fillId="0" borderId="57" xfId="65" applyFont="1" applyBorder="1" applyAlignment="1">
      <alignment horizontal="center"/>
      <protection/>
    </xf>
    <xf numFmtId="0" fontId="37" fillId="0" borderId="57" xfId="65" applyFont="1" applyBorder="1" applyAlignment="1">
      <alignment horizontal="center"/>
      <protection/>
    </xf>
    <xf numFmtId="0" fontId="40" fillId="0" borderId="13" xfId="65" applyFont="1" applyBorder="1" applyAlignment="1">
      <alignment horizontal="center"/>
      <protection/>
    </xf>
    <xf numFmtId="0" fontId="35" fillId="0" borderId="59" xfId="0" applyFont="1" applyBorder="1" applyAlignment="1">
      <alignment horizontal="center"/>
    </xf>
    <xf numFmtId="4" fontId="23" fillId="0" borderId="46" xfId="65" applyNumberFormat="1" applyFont="1" applyFill="1" applyBorder="1" applyAlignment="1">
      <alignment horizontal="right"/>
      <protection/>
    </xf>
    <xf numFmtId="4" fontId="23" fillId="0" borderId="47" xfId="65" applyNumberFormat="1" applyFont="1" applyFill="1" applyBorder="1" applyAlignment="1">
      <alignment horizontal="right"/>
      <protection/>
    </xf>
    <xf numFmtId="4" fontId="24" fillId="0" borderId="59" xfId="65" applyNumberFormat="1" applyFont="1" applyFill="1" applyBorder="1">
      <alignment/>
      <protection/>
    </xf>
    <xf numFmtId="0" fontId="0" fillId="0" borderId="0" xfId="65" applyFill="1">
      <alignment/>
      <protection/>
    </xf>
    <xf numFmtId="0" fontId="34" fillId="0" borderId="0" xfId="65" applyFont="1" applyFill="1">
      <alignment/>
      <protection/>
    </xf>
    <xf numFmtId="3" fontId="0" fillId="0" borderId="0" xfId="65" applyNumberFormat="1" applyFill="1">
      <alignment/>
      <protection/>
    </xf>
    <xf numFmtId="0" fontId="37" fillId="0" borderId="13" xfId="65" applyFont="1" applyBorder="1">
      <alignment/>
      <protection/>
    </xf>
    <xf numFmtId="4" fontId="35" fillId="0" borderId="47" xfId="65" applyNumberFormat="1" applyFont="1" applyBorder="1">
      <alignment/>
      <protection/>
    </xf>
    <xf numFmtId="0" fontId="37" fillId="38" borderId="13" xfId="65" applyFont="1" applyFill="1" applyBorder="1" applyAlignment="1">
      <alignment horizontal="left" wrapText="1"/>
      <protection/>
    </xf>
    <xf numFmtId="0" fontId="43" fillId="38" borderId="57" xfId="65" applyFont="1" applyFill="1" applyBorder="1" applyAlignment="1">
      <alignment horizontal="left" wrapText="1"/>
      <protection/>
    </xf>
    <xf numFmtId="0" fontId="37" fillId="38" borderId="57" xfId="65" applyFont="1" applyFill="1" applyBorder="1" applyAlignment="1">
      <alignment horizontal="left" wrapText="1"/>
      <protection/>
    </xf>
    <xf numFmtId="4" fontId="40" fillId="0" borderId="47" xfId="65" applyNumberFormat="1" applyFont="1" applyBorder="1">
      <alignment/>
      <protection/>
    </xf>
    <xf numFmtId="0" fontId="43" fillId="38" borderId="13" xfId="65" applyFont="1" applyFill="1" applyBorder="1" applyAlignment="1">
      <alignment horizontal="left" wrapText="1"/>
      <protection/>
    </xf>
    <xf numFmtId="4" fontId="35" fillId="0" borderId="62" xfId="65" applyNumberFormat="1" applyFont="1" applyBorder="1" applyAlignment="1">
      <alignment horizontal="right"/>
      <protection/>
    </xf>
    <xf numFmtId="4" fontId="37" fillId="38" borderId="64" xfId="65" applyNumberFormat="1" applyFont="1" applyFill="1" applyBorder="1" applyAlignment="1">
      <alignment horizontal="right" wrapText="1"/>
      <protection/>
    </xf>
    <xf numFmtId="4" fontId="23" fillId="37" borderId="43" xfId="65" applyNumberFormat="1" applyFont="1" applyFill="1" applyBorder="1" applyAlignment="1">
      <alignment horizontal="right"/>
      <protection/>
    </xf>
    <xf numFmtId="0" fontId="23" fillId="0" borderId="65" xfId="0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49" fontId="24" fillId="37" borderId="58" xfId="0" applyNumberFormat="1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5" fillId="0" borderId="18" xfId="0" applyFont="1" applyBorder="1" applyAlignment="1">
      <alignment horizontal="left"/>
    </xf>
    <xf numFmtId="0" fontId="25" fillId="0" borderId="58" xfId="0" applyFont="1" applyBorder="1" applyAlignment="1">
      <alignment horizontal="left"/>
    </xf>
    <xf numFmtId="0" fontId="23" fillId="0" borderId="36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169" fontId="23" fillId="0" borderId="58" xfId="0" applyNumberFormat="1" applyFont="1" applyBorder="1" applyAlignment="1">
      <alignment horizontal="right" indent="2"/>
    </xf>
    <xf numFmtId="169" fontId="23" fillId="0" borderId="23" xfId="0" applyNumberFormat="1" applyFont="1" applyBorder="1" applyAlignment="1">
      <alignment horizontal="right" indent="2"/>
    </xf>
    <xf numFmtId="169" fontId="27" fillId="37" borderId="66" xfId="0" applyNumberFormat="1" applyFont="1" applyFill="1" applyBorder="1" applyAlignment="1">
      <alignment horizontal="right" indent="2"/>
    </xf>
    <xf numFmtId="169" fontId="27" fillId="37" borderId="56" xfId="0" applyNumberFormat="1" applyFont="1" applyFill="1" applyBorder="1" applyAlignment="1">
      <alignment horizontal="right" indent="2"/>
    </xf>
    <xf numFmtId="0" fontId="49" fillId="0" borderId="65" xfId="0" applyFont="1" applyBorder="1" applyAlignment="1">
      <alignment horizontal="center" vertical="center" wrapText="1"/>
    </xf>
    <xf numFmtId="0" fontId="50" fillId="0" borderId="6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3" fontId="24" fillId="37" borderId="37" xfId="0" applyNumberFormat="1" applyFont="1" applyFill="1" applyBorder="1" applyAlignment="1">
      <alignment horizontal="right"/>
    </xf>
    <xf numFmtId="3" fontId="24" fillId="37" borderId="56" xfId="0" applyNumberFormat="1" applyFont="1" applyFill="1" applyBorder="1" applyAlignment="1">
      <alignment horizontal="right"/>
    </xf>
    <xf numFmtId="0" fontId="23" fillId="0" borderId="67" xfId="65" applyFont="1" applyBorder="1" applyAlignment="1">
      <alignment horizontal="center"/>
      <protection/>
    </xf>
    <xf numFmtId="0" fontId="23" fillId="0" borderId="68" xfId="65" applyFont="1" applyBorder="1" applyAlignment="1">
      <alignment horizontal="center"/>
      <protection/>
    </xf>
    <xf numFmtId="0" fontId="23" fillId="0" borderId="69" xfId="65" applyFont="1" applyBorder="1" applyAlignment="1">
      <alignment horizontal="center"/>
      <protection/>
    </xf>
    <xf numFmtId="0" fontId="23" fillId="0" borderId="70" xfId="65" applyFont="1" applyBorder="1" applyAlignment="1">
      <alignment horizontal="center"/>
      <protection/>
    </xf>
    <xf numFmtId="0" fontId="23" fillId="0" borderId="71" xfId="65" applyFont="1" applyBorder="1" applyAlignment="1">
      <alignment horizontal="left"/>
      <protection/>
    </xf>
    <xf numFmtId="0" fontId="23" fillId="0" borderId="51" xfId="65" applyFont="1" applyBorder="1" applyAlignment="1">
      <alignment horizontal="left"/>
      <protection/>
    </xf>
    <xf numFmtId="0" fontId="23" fillId="0" borderId="72" xfId="65" applyFont="1" applyBorder="1" applyAlignment="1">
      <alignment horizontal="left"/>
      <protection/>
    </xf>
    <xf numFmtId="49" fontId="24" fillId="0" borderId="48" xfId="65" applyNumberFormat="1" applyFont="1" applyBorder="1" applyAlignment="1">
      <alignment wrapText="1"/>
      <protection/>
    </xf>
    <xf numFmtId="0" fontId="0" fillId="0" borderId="49" xfId="0" applyBorder="1" applyAlignment="1">
      <alignment wrapText="1"/>
    </xf>
    <xf numFmtId="0" fontId="0" fillId="0" borderId="68" xfId="0" applyBorder="1" applyAlignment="1">
      <alignment wrapText="1"/>
    </xf>
    <xf numFmtId="49" fontId="37" fillId="38" borderId="64" xfId="65" applyNumberFormat="1" applyFont="1" applyFill="1" applyBorder="1" applyAlignment="1">
      <alignment horizontal="left" wrapText="1"/>
      <protection/>
    </xf>
    <xf numFmtId="49" fontId="38" fillId="0" borderId="73" xfId="0" applyNumberFormat="1" applyFont="1" applyBorder="1" applyAlignment="1">
      <alignment horizontal="left" wrapText="1"/>
    </xf>
    <xf numFmtId="0" fontId="31" fillId="0" borderId="0" xfId="65" applyFont="1" applyAlignment="1">
      <alignment horizontal="center"/>
      <protection/>
    </xf>
    <xf numFmtId="49" fontId="23" fillId="0" borderId="69" xfId="65" applyNumberFormat="1" applyFont="1" applyBorder="1" applyAlignment="1">
      <alignment horizontal="center"/>
      <protection/>
    </xf>
    <xf numFmtId="0" fontId="23" fillId="0" borderId="71" xfId="65" applyFont="1" applyBorder="1" applyAlignment="1">
      <alignment horizontal="center" shrinkToFit="1"/>
      <protection/>
    </xf>
    <xf numFmtId="0" fontId="23" fillId="0" borderId="51" xfId="65" applyFont="1" applyBorder="1" applyAlignment="1">
      <alignment horizontal="center" shrinkToFit="1"/>
      <protection/>
    </xf>
    <xf numFmtId="0" fontId="23" fillId="0" borderId="72" xfId="65" applyFont="1" applyBorder="1" applyAlignment="1">
      <alignment horizontal="center" shrinkToFit="1"/>
      <protection/>
    </xf>
    <xf numFmtId="49" fontId="43" fillId="38" borderId="64" xfId="65" applyNumberFormat="1" applyFont="1" applyFill="1" applyBorder="1" applyAlignment="1">
      <alignment horizontal="left" wrapText="1"/>
      <protection/>
    </xf>
    <xf numFmtId="49" fontId="44" fillId="0" borderId="73" xfId="0" applyNumberFormat="1" applyFont="1" applyBorder="1" applyAlignment="1">
      <alignment horizontal="left" wrapText="1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POL.XLS" xfId="65"/>
    <cellStyle name="Poznámka" xfId="66"/>
    <cellStyle name="Percent" xfId="67"/>
    <cellStyle name="Propojená buňka" xfId="68"/>
    <cellStyle name="Followed Hyperlink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263" t="s">
        <v>219</v>
      </c>
      <c r="B1" s="264"/>
      <c r="C1" s="264"/>
      <c r="D1" s="264"/>
      <c r="E1" s="264"/>
      <c r="F1" s="264"/>
      <c r="G1" s="249" t="s">
        <v>220</v>
      </c>
    </row>
    <row r="2" spans="1:7" ht="26.25" customHeight="1">
      <c r="A2" s="1" t="s">
        <v>0</v>
      </c>
      <c r="B2" s="2"/>
      <c r="C2" s="3" t="s">
        <v>215</v>
      </c>
      <c r="D2" s="3" t="s">
        <v>216</v>
      </c>
      <c r="E2" s="4"/>
      <c r="F2" s="5" t="s">
        <v>1</v>
      </c>
      <c r="G2" s="6"/>
    </row>
    <row r="3" spans="1:7" ht="3" customHeight="1" hidden="1">
      <c r="A3" s="7"/>
      <c r="B3" s="8"/>
      <c r="C3" s="9"/>
      <c r="D3" s="9"/>
      <c r="E3" s="10"/>
      <c r="F3" s="11"/>
      <c r="G3" s="12"/>
    </row>
    <row r="4" spans="1:7" ht="12" customHeight="1">
      <c r="A4" s="13" t="s">
        <v>2</v>
      </c>
      <c r="B4" s="8"/>
      <c r="C4" s="9" t="s">
        <v>3</v>
      </c>
      <c r="D4" s="9"/>
      <c r="E4" s="10"/>
      <c r="F4" s="11" t="s">
        <v>4</v>
      </c>
      <c r="G4" s="14"/>
    </row>
    <row r="5" spans="1:7" ht="12.75" customHeight="1">
      <c r="A5" s="15" t="s">
        <v>160</v>
      </c>
      <c r="B5" s="16"/>
      <c r="C5" s="17" t="s">
        <v>217</v>
      </c>
      <c r="D5" s="18"/>
      <c r="E5" s="16"/>
      <c r="F5" s="11" t="s">
        <v>6</v>
      </c>
      <c r="G5" s="12"/>
    </row>
    <row r="6" spans="1:15" ht="12.75" customHeight="1">
      <c r="A6" s="13" t="s">
        <v>7</v>
      </c>
      <c r="B6" s="8"/>
      <c r="C6" s="9" t="s">
        <v>8</v>
      </c>
      <c r="D6" s="9"/>
      <c r="E6" s="10"/>
      <c r="F6" s="19" t="s">
        <v>9</v>
      </c>
      <c r="G6" s="20">
        <v>0</v>
      </c>
      <c r="O6" s="21"/>
    </row>
    <row r="7" spans="1:7" ht="30" customHeight="1">
      <c r="A7" s="22"/>
      <c r="B7" s="23"/>
      <c r="C7" s="252" t="s">
        <v>218</v>
      </c>
      <c r="D7" s="253"/>
      <c r="E7" s="254"/>
      <c r="F7" s="24" t="s">
        <v>10</v>
      </c>
      <c r="G7" s="20">
        <f>IF(PocetMJ=0,,ROUND((F30+F32)/PocetMJ,1))</f>
        <v>0</v>
      </c>
    </row>
    <row r="8" spans="1:9" ht="12.75">
      <c r="A8" s="25" t="s">
        <v>11</v>
      </c>
      <c r="B8" s="11"/>
      <c r="C8" s="255"/>
      <c r="D8" s="255"/>
      <c r="E8" s="256"/>
      <c r="F8" s="26" t="s">
        <v>12</v>
      </c>
      <c r="G8" s="27"/>
      <c r="H8" s="28"/>
      <c r="I8" s="29"/>
    </row>
    <row r="9" spans="1:8" ht="12.75">
      <c r="A9" s="25" t="s">
        <v>13</v>
      </c>
      <c r="B9" s="11"/>
      <c r="C9" s="255">
        <f>Projektant</f>
        <v>0</v>
      </c>
      <c r="D9" s="255"/>
      <c r="E9" s="256"/>
      <c r="F9" s="11"/>
      <c r="G9" s="30"/>
      <c r="H9" s="31"/>
    </row>
    <row r="10" spans="1:8" ht="12.75">
      <c r="A10" s="25" t="s">
        <v>14</v>
      </c>
      <c r="B10" s="11"/>
      <c r="C10" s="255"/>
      <c r="D10" s="255"/>
      <c r="E10" s="255"/>
      <c r="F10" s="32"/>
      <c r="G10" s="33"/>
      <c r="H10" s="34"/>
    </row>
    <row r="11" spans="1:57" ht="13.5" customHeight="1">
      <c r="A11" s="25" t="s">
        <v>15</v>
      </c>
      <c r="B11" s="11"/>
      <c r="C11" s="255"/>
      <c r="D11" s="255"/>
      <c r="E11" s="255"/>
      <c r="F11" s="35" t="s">
        <v>16</v>
      </c>
      <c r="G11" s="36"/>
      <c r="H11" s="31"/>
      <c r="BA11" s="37"/>
      <c r="BB11" s="37"/>
      <c r="BC11" s="37"/>
      <c r="BD11" s="37"/>
      <c r="BE11" s="37"/>
    </row>
    <row r="12" spans="1:8" ht="12.75" customHeight="1">
      <c r="A12" s="38" t="s">
        <v>17</v>
      </c>
      <c r="B12" s="8"/>
      <c r="C12" s="265"/>
      <c r="D12" s="265"/>
      <c r="E12" s="265"/>
      <c r="F12" s="39" t="s">
        <v>18</v>
      </c>
      <c r="G12" s="40"/>
      <c r="H12" s="31"/>
    </row>
    <row r="13" spans="1:8" ht="28.5" customHeight="1" thickBot="1">
      <c r="A13" s="41" t="s">
        <v>19</v>
      </c>
      <c r="B13" s="42"/>
      <c r="C13" s="42"/>
      <c r="D13" s="42"/>
      <c r="E13" s="43"/>
      <c r="F13" s="43"/>
      <c r="G13" s="44"/>
      <c r="H13" s="31"/>
    </row>
    <row r="14" spans="1:7" ht="17.25" customHeight="1" thickBot="1">
      <c r="A14" s="45" t="s">
        <v>20</v>
      </c>
      <c r="B14" s="46"/>
      <c r="C14" s="47"/>
      <c r="D14" s="48" t="s">
        <v>21</v>
      </c>
      <c r="E14" s="49"/>
      <c r="F14" s="49"/>
      <c r="G14" s="47"/>
    </row>
    <row r="15" spans="1:7" ht="15.75" customHeight="1">
      <c r="A15" s="50"/>
      <c r="B15" s="51" t="s">
        <v>22</v>
      </c>
      <c r="C15" s="52">
        <f>HSV</f>
        <v>0</v>
      </c>
      <c r="D15" s="53" t="str">
        <f>Rekapitulace!A19</f>
        <v>Ztížené výrobní podmínky</v>
      </c>
      <c r="E15" s="54"/>
      <c r="F15" s="55"/>
      <c r="G15" s="52">
        <f>Rekapitulace!I19</f>
        <v>0</v>
      </c>
    </row>
    <row r="16" spans="1:7" ht="15.75" customHeight="1">
      <c r="A16" s="50" t="s">
        <v>23</v>
      </c>
      <c r="B16" s="51" t="s">
        <v>24</v>
      </c>
      <c r="C16" s="52">
        <f>PSV</f>
        <v>0</v>
      </c>
      <c r="D16" s="7" t="str">
        <f>Rekapitulace!A20</f>
        <v>Oborová přirážka</v>
      </c>
      <c r="E16" s="56"/>
      <c r="F16" s="57"/>
      <c r="G16" s="52">
        <f>Rekapitulace!I20</f>
        <v>0</v>
      </c>
    </row>
    <row r="17" spans="1:7" ht="15.75" customHeight="1">
      <c r="A17" s="50" t="s">
        <v>25</v>
      </c>
      <c r="B17" s="51" t="s">
        <v>26</v>
      </c>
      <c r="C17" s="52">
        <f>Mont</f>
        <v>0</v>
      </c>
      <c r="D17" s="7" t="str">
        <f>Rekapitulace!A21</f>
        <v>Přesun stavebních kapacit</v>
      </c>
      <c r="E17" s="56"/>
      <c r="F17" s="57"/>
      <c r="G17" s="52">
        <f>Rekapitulace!I21</f>
        <v>0</v>
      </c>
    </row>
    <row r="18" spans="1:7" ht="15.75" customHeight="1">
      <c r="A18" s="58" t="s">
        <v>27</v>
      </c>
      <c r="B18" s="59" t="s">
        <v>28</v>
      </c>
      <c r="C18" s="52">
        <f>Dodavka</f>
        <v>0</v>
      </c>
      <c r="D18" s="7" t="str">
        <f>Rekapitulace!A22</f>
        <v>Mimostaveništní doprava</v>
      </c>
      <c r="E18" s="56"/>
      <c r="F18" s="57"/>
      <c r="G18" s="52">
        <f>Rekapitulace!I22</f>
        <v>0</v>
      </c>
    </row>
    <row r="19" spans="1:7" ht="15.75" customHeight="1">
      <c r="A19" s="60" t="s">
        <v>29</v>
      </c>
      <c r="B19" s="51"/>
      <c r="C19" s="52">
        <f>SUM(C15:C18)</f>
        <v>0</v>
      </c>
      <c r="D19" s="7" t="str">
        <f>Rekapitulace!A23</f>
        <v>Zařízení staveniště</v>
      </c>
      <c r="E19" s="56"/>
      <c r="F19" s="57"/>
      <c r="G19" s="52">
        <f>Rekapitulace!I23</f>
        <v>0</v>
      </c>
    </row>
    <row r="20" spans="1:7" ht="15.75" customHeight="1">
      <c r="A20" s="60"/>
      <c r="B20" s="51"/>
      <c r="C20" s="52"/>
      <c r="D20" s="7" t="str">
        <f>Rekapitulace!A24</f>
        <v>Provoz investora</v>
      </c>
      <c r="E20" s="56"/>
      <c r="F20" s="57"/>
      <c r="G20" s="52">
        <f>Rekapitulace!I24</f>
        <v>0</v>
      </c>
    </row>
    <row r="21" spans="1:7" ht="15.75" customHeight="1">
      <c r="A21" s="60" t="s">
        <v>30</v>
      </c>
      <c r="B21" s="51"/>
      <c r="C21" s="52">
        <f>HZS</f>
        <v>0</v>
      </c>
      <c r="D21" s="7" t="str">
        <f>Rekapitulace!A25</f>
        <v>Kompletační činnost (IČD)</v>
      </c>
      <c r="E21" s="56"/>
      <c r="F21" s="57"/>
      <c r="G21" s="52">
        <f>Rekapitulace!I25</f>
        <v>0</v>
      </c>
    </row>
    <row r="22" spans="1:7" ht="15.75" customHeight="1">
      <c r="A22" s="61" t="s">
        <v>31</v>
      </c>
      <c r="B22" s="62"/>
      <c r="C22" s="52">
        <f>C19+C21</f>
        <v>0</v>
      </c>
      <c r="D22" s="7" t="s">
        <v>32</v>
      </c>
      <c r="E22" s="56"/>
      <c r="F22" s="57"/>
      <c r="G22" s="52">
        <f>G23-SUM(G15:G21)</f>
        <v>0</v>
      </c>
    </row>
    <row r="23" spans="1:7" ht="15.75" customHeight="1" thickBot="1">
      <c r="A23" s="257" t="s">
        <v>33</v>
      </c>
      <c r="B23" s="258"/>
      <c r="C23" s="63">
        <f>C22+G23</f>
        <v>0</v>
      </c>
      <c r="D23" s="64" t="s">
        <v>34</v>
      </c>
      <c r="E23" s="65"/>
      <c r="F23" s="66"/>
      <c r="G23" s="52">
        <f>VRN</f>
        <v>0</v>
      </c>
    </row>
    <row r="24" spans="1:7" ht="12.75">
      <c r="A24" s="67" t="s">
        <v>35</v>
      </c>
      <c r="B24" s="68"/>
      <c r="C24" s="69"/>
      <c r="D24" s="68" t="s">
        <v>36</v>
      </c>
      <c r="E24" s="68"/>
      <c r="F24" s="70" t="s">
        <v>37</v>
      </c>
      <c r="G24" s="71"/>
    </row>
    <row r="25" spans="1:7" ht="12.75">
      <c r="A25" s="61" t="s">
        <v>38</v>
      </c>
      <c r="B25" s="62"/>
      <c r="C25" s="72"/>
      <c r="D25" s="62" t="s">
        <v>38</v>
      </c>
      <c r="E25" s="73"/>
      <c r="F25" s="74" t="s">
        <v>38</v>
      </c>
      <c r="G25" s="75"/>
    </row>
    <row r="26" spans="1:7" ht="37.5" customHeight="1">
      <c r="A26" s="61" t="s">
        <v>39</v>
      </c>
      <c r="B26" s="76"/>
      <c r="C26" s="72"/>
      <c r="D26" s="62" t="s">
        <v>39</v>
      </c>
      <c r="E26" s="73"/>
      <c r="F26" s="74" t="s">
        <v>39</v>
      </c>
      <c r="G26" s="75"/>
    </row>
    <row r="27" spans="1:7" ht="12.75">
      <c r="A27" s="61"/>
      <c r="B27" s="77"/>
      <c r="C27" s="72"/>
      <c r="D27" s="62"/>
      <c r="E27" s="73"/>
      <c r="F27" s="74"/>
      <c r="G27" s="75"/>
    </row>
    <row r="28" spans="1:7" ht="12.75">
      <c r="A28" s="61" t="s">
        <v>40</v>
      </c>
      <c r="B28" s="62"/>
      <c r="C28" s="72"/>
      <c r="D28" s="74" t="s">
        <v>41</v>
      </c>
      <c r="E28" s="72"/>
      <c r="F28" s="78" t="s">
        <v>41</v>
      </c>
      <c r="G28" s="75"/>
    </row>
    <row r="29" spans="1:7" ht="69" customHeight="1">
      <c r="A29" s="61"/>
      <c r="B29" s="62"/>
      <c r="C29" s="79"/>
      <c r="D29" s="80"/>
      <c r="E29" s="79"/>
      <c r="F29" s="62"/>
      <c r="G29" s="75"/>
    </row>
    <row r="30" spans="1:7" ht="12.75">
      <c r="A30" s="81" t="s">
        <v>42</v>
      </c>
      <c r="B30" s="82"/>
      <c r="C30" s="83">
        <v>15</v>
      </c>
      <c r="D30" s="82" t="s">
        <v>43</v>
      </c>
      <c r="E30" s="84"/>
      <c r="F30" s="259">
        <f>C23-F32</f>
        <v>0</v>
      </c>
      <c r="G30" s="260"/>
    </row>
    <row r="31" spans="1:7" ht="12.75">
      <c r="A31" s="81" t="s">
        <v>44</v>
      </c>
      <c r="B31" s="82"/>
      <c r="C31" s="83">
        <f>SazbaDPH1</f>
        <v>15</v>
      </c>
      <c r="D31" s="82" t="s">
        <v>45</v>
      </c>
      <c r="E31" s="84"/>
      <c r="F31" s="259">
        <f>ROUND(PRODUCT(F30,C31/100),0)</f>
        <v>0</v>
      </c>
      <c r="G31" s="260"/>
    </row>
    <row r="32" spans="1:7" ht="12.75">
      <c r="A32" s="81" t="s">
        <v>42</v>
      </c>
      <c r="B32" s="82"/>
      <c r="C32" s="83">
        <v>0</v>
      </c>
      <c r="D32" s="82" t="s">
        <v>45</v>
      </c>
      <c r="E32" s="84"/>
      <c r="F32" s="259">
        <v>0</v>
      </c>
      <c r="G32" s="260"/>
    </row>
    <row r="33" spans="1:7" ht="12.75">
      <c r="A33" s="81" t="s">
        <v>44</v>
      </c>
      <c r="B33" s="85"/>
      <c r="C33" s="86">
        <f>SazbaDPH2</f>
        <v>0</v>
      </c>
      <c r="D33" s="82" t="s">
        <v>45</v>
      </c>
      <c r="E33" s="57"/>
      <c r="F33" s="259">
        <f>ROUND(PRODUCT(F32,C33/100),0)</f>
        <v>0</v>
      </c>
      <c r="G33" s="260"/>
    </row>
    <row r="34" spans="1:7" s="90" customFormat="1" ht="19.5" customHeight="1" thickBot="1">
      <c r="A34" s="87" t="s">
        <v>46</v>
      </c>
      <c r="B34" s="88"/>
      <c r="C34" s="88"/>
      <c r="D34" s="88"/>
      <c r="E34" s="89"/>
      <c r="F34" s="261">
        <f>ROUND(SUM(F30:F33),0)</f>
        <v>0</v>
      </c>
      <c r="G34" s="262"/>
    </row>
    <row r="36" spans="1:8" ht="12.75">
      <c r="A36" s="91" t="s">
        <v>47</v>
      </c>
      <c r="B36" s="91"/>
      <c r="C36" s="91"/>
      <c r="D36" s="91"/>
      <c r="E36" s="91"/>
      <c r="F36" s="91"/>
      <c r="G36" s="91"/>
      <c r="H36" t="s">
        <v>5</v>
      </c>
    </row>
    <row r="37" spans="1:8" ht="14.25" customHeight="1">
      <c r="A37" s="91"/>
      <c r="B37" s="251"/>
      <c r="C37" s="251"/>
      <c r="D37" s="251"/>
      <c r="E37" s="251"/>
      <c r="F37" s="251"/>
      <c r="G37" s="251"/>
      <c r="H37" t="s">
        <v>5</v>
      </c>
    </row>
    <row r="38" spans="1:8" ht="12.75" customHeight="1">
      <c r="A38" s="92"/>
      <c r="B38" s="251"/>
      <c r="C38" s="251"/>
      <c r="D38" s="251"/>
      <c r="E38" s="251"/>
      <c r="F38" s="251"/>
      <c r="G38" s="251"/>
      <c r="H38" t="s">
        <v>5</v>
      </c>
    </row>
    <row r="39" spans="1:8" ht="12.75">
      <c r="A39" s="92"/>
      <c r="B39" s="251"/>
      <c r="C39" s="251"/>
      <c r="D39" s="251"/>
      <c r="E39" s="251"/>
      <c r="F39" s="251"/>
      <c r="G39" s="251"/>
      <c r="H39" t="s">
        <v>5</v>
      </c>
    </row>
    <row r="40" spans="1:8" ht="12.75">
      <c r="A40" s="92"/>
      <c r="B40" s="251"/>
      <c r="C40" s="251"/>
      <c r="D40" s="251"/>
      <c r="E40" s="251"/>
      <c r="F40" s="251"/>
      <c r="G40" s="251"/>
      <c r="H40" t="s">
        <v>5</v>
      </c>
    </row>
    <row r="41" spans="1:8" ht="12.75">
      <c r="A41" s="92"/>
      <c r="B41" s="251"/>
      <c r="C41" s="251"/>
      <c r="D41" s="251"/>
      <c r="E41" s="251"/>
      <c r="F41" s="251"/>
      <c r="G41" s="251"/>
      <c r="H41" t="s">
        <v>5</v>
      </c>
    </row>
    <row r="42" spans="1:8" ht="12.75">
      <c r="A42" s="92"/>
      <c r="B42" s="251"/>
      <c r="C42" s="251"/>
      <c r="D42" s="251"/>
      <c r="E42" s="251"/>
      <c r="F42" s="251"/>
      <c r="G42" s="251"/>
      <c r="H42" t="s">
        <v>5</v>
      </c>
    </row>
    <row r="43" spans="1:8" ht="12.75">
      <c r="A43" s="92"/>
      <c r="B43" s="251"/>
      <c r="C43" s="251"/>
      <c r="D43" s="251"/>
      <c r="E43" s="251"/>
      <c r="F43" s="251"/>
      <c r="G43" s="251"/>
      <c r="H43" t="s">
        <v>5</v>
      </c>
    </row>
    <row r="44" spans="1:8" ht="12.75">
      <c r="A44" s="92"/>
      <c r="B44" s="251"/>
      <c r="C44" s="251"/>
      <c r="D44" s="251"/>
      <c r="E44" s="251"/>
      <c r="F44" s="251"/>
      <c r="G44" s="251"/>
      <c r="H44" t="s">
        <v>5</v>
      </c>
    </row>
    <row r="45" spans="1:8" ht="0.75" customHeight="1">
      <c r="A45" s="92"/>
      <c r="B45" s="251"/>
      <c r="C45" s="251"/>
      <c r="D45" s="251"/>
      <c r="E45" s="251"/>
      <c r="F45" s="251"/>
      <c r="G45" s="251"/>
      <c r="H45" t="s">
        <v>5</v>
      </c>
    </row>
    <row r="46" spans="2:7" ht="12.75">
      <c r="B46" s="250"/>
      <c r="C46" s="250"/>
      <c r="D46" s="250"/>
      <c r="E46" s="250"/>
      <c r="F46" s="250"/>
      <c r="G46" s="250"/>
    </row>
    <row r="47" spans="2:7" ht="12.75">
      <c r="B47" s="250"/>
      <c r="C47" s="250"/>
      <c r="D47" s="250"/>
      <c r="E47" s="250"/>
      <c r="F47" s="250"/>
      <c r="G47" s="250"/>
    </row>
    <row r="48" spans="2:7" ht="12.75">
      <c r="B48" s="250"/>
      <c r="C48" s="250"/>
      <c r="D48" s="250"/>
      <c r="E48" s="250"/>
      <c r="F48" s="250"/>
      <c r="G48" s="250"/>
    </row>
    <row r="49" spans="2:7" ht="12.75">
      <c r="B49" s="250"/>
      <c r="C49" s="250"/>
      <c r="D49" s="250"/>
      <c r="E49" s="250"/>
      <c r="F49" s="250"/>
      <c r="G49" s="250"/>
    </row>
    <row r="50" spans="2:7" ht="12.75">
      <c r="B50" s="250"/>
      <c r="C50" s="250"/>
      <c r="D50" s="250"/>
      <c r="E50" s="250"/>
      <c r="F50" s="250"/>
      <c r="G50" s="250"/>
    </row>
    <row r="51" spans="2:7" ht="12.75">
      <c r="B51" s="250"/>
      <c r="C51" s="250"/>
      <c r="D51" s="250"/>
      <c r="E51" s="250"/>
      <c r="F51" s="250"/>
      <c r="G51" s="250"/>
    </row>
    <row r="52" spans="2:7" ht="12.75">
      <c r="B52" s="250"/>
      <c r="C52" s="250"/>
      <c r="D52" s="250"/>
      <c r="E52" s="250"/>
      <c r="F52" s="250"/>
      <c r="G52" s="250"/>
    </row>
    <row r="53" spans="2:7" ht="12.75">
      <c r="B53" s="250"/>
      <c r="C53" s="250"/>
      <c r="D53" s="250"/>
      <c r="E53" s="250"/>
      <c r="F53" s="250"/>
      <c r="G53" s="250"/>
    </row>
    <row r="54" spans="2:7" ht="12.75">
      <c r="B54" s="250"/>
      <c r="C54" s="250"/>
      <c r="D54" s="250"/>
      <c r="E54" s="250"/>
      <c r="F54" s="250"/>
      <c r="G54" s="250"/>
    </row>
    <row r="55" spans="2:7" ht="12.75">
      <c r="B55" s="250"/>
      <c r="C55" s="250"/>
      <c r="D55" s="250"/>
      <c r="E55" s="250"/>
      <c r="F55" s="250"/>
      <c r="G55" s="250"/>
    </row>
  </sheetData>
  <sheetProtection/>
  <mergeCells count="24">
    <mergeCell ref="B54:G54"/>
    <mergeCell ref="B55:G55"/>
    <mergeCell ref="B49:G49"/>
    <mergeCell ref="B50:G50"/>
    <mergeCell ref="B51:G51"/>
    <mergeCell ref="B52:G52"/>
    <mergeCell ref="F31:G31"/>
    <mergeCell ref="F32:G32"/>
    <mergeCell ref="F33:G33"/>
    <mergeCell ref="F34:G34"/>
    <mergeCell ref="A1:F1"/>
    <mergeCell ref="B53:G53"/>
    <mergeCell ref="C12:E12"/>
    <mergeCell ref="B46:G46"/>
    <mergeCell ref="B47:G47"/>
    <mergeCell ref="B48:G48"/>
    <mergeCell ref="B37:G45"/>
    <mergeCell ref="C7:E7"/>
    <mergeCell ref="C9:E9"/>
    <mergeCell ref="C11:E11"/>
    <mergeCell ref="C8:E8"/>
    <mergeCell ref="C10:E10"/>
    <mergeCell ref="A23:B23"/>
    <mergeCell ref="F30:G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25.5" customHeight="1" thickTop="1">
      <c r="A1" s="268" t="s">
        <v>48</v>
      </c>
      <c r="B1" s="269"/>
      <c r="C1" s="275" t="str">
        <f>CONCATENATE(cislostavby," ",nazevstavby)</f>
        <v> Podpora rekonstrukce budovy č. p. 107 na obecní byty</v>
      </c>
      <c r="D1" s="276"/>
      <c r="E1" s="276"/>
      <c r="F1" s="277"/>
      <c r="G1" s="93" t="s">
        <v>162</v>
      </c>
      <c r="H1" s="94"/>
      <c r="I1" s="95"/>
    </row>
    <row r="2" spans="1:9" ht="13.5" thickBot="1">
      <c r="A2" s="270" t="s">
        <v>49</v>
      </c>
      <c r="B2" s="271"/>
      <c r="C2" s="96" t="str">
        <f>CONCATENATE(cisloobjektu," ",nazevobjektu)</f>
        <v>SO 04 Přípojka kanalizace  </v>
      </c>
      <c r="D2" s="97"/>
      <c r="E2" s="98"/>
      <c r="F2" s="97"/>
      <c r="G2" s="272"/>
      <c r="H2" s="273"/>
      <c r="I2" s="274"/>
    </row>
    <row r="3" spans="1:9" ht="13.5" thickTop="1">
      <c r="A3" s="73"/>
      <c r="B3" s="73"/>
      <c r="C3" s="73"/>
      <c r="D3" s="73"/>
      <c r="E3" s="73"/>
      <c r="F3" s="62"/>
      <c r="G3" s="73"/>
      <c r="H3" s="73"/>
      <c r="I3" s="73"/>
    </row>
    <row r="4" spans="1:9" ht="19.5" customHeight="1">
      <c r="A4" s="99" t="s">
        <v>50</v>
      </c>
      <c r="B4" s="100"/>
      <c r="C4" s="100"/>
      <c r="D4" s="100"/>
      <c r="E4" s="101"/>
      <c r="F4" s="100"/>
      <c r="G4" s="100"/>
      <c r="H4" s="100"/>
      <c r="I4" s="100"/>
    </row>
    <row r="5" spans="1:9" ht="13.5" thickBot="1">
      <c r="A5" s="73"/>
      <c r="B5" s="73"/>
      <c r="C5" s="73"/>
      <c r="D5" s="73"/>
      <c r="E5" s="73"/>
      <c r="F5" s="73"/>
      <c r="G5" s="73"/>
      <c r="H5" s="73"/>
      <c r="I5" s="73"/>
    </row>
    <row r="6" spans="1:9" s="31" customFormat="1" ht="13.5" thickBot="1">
      <c r="A6" s="102"/>
      <c r="B6" s="103" t="s">
        <v>51</v>
      </c>
      <c r="C6" s="103"/>
      <c r="D6" s="104"/>
      <c r="E6" s="105" t="s">
        <v>52</v>
      </c>
      <c r="F6" s="106" t="s">
        <v>53</v>
      </c>
      <c r="G6" s="106" t="s">
        <v>54</v>
      </c>
      <c r="H6" s="106" t="s">
        <v>55</v>
      </c>
      <c r="I6" s="107" t="s">
        <v>30</v>
      </c>
    </row>
    <row r="7" spans="1:9" s="31" customFormat="1" ht="12.75">
      <c r="A7"/>
      <c r="B7"/>
      <c r="C7"/>
      <c r="D7" s="205"/>
      <c r="E7" s="206"/>
      <c r="F7" s="207"/>
      <c r="G7" s="207"/>
      <c r="H7" s="207"/>
      <c r="I7" s="208"/>
    </row>
    <row r="8" spans="1:9" s="31" customFormat="1" ht="12.75">
      <c r="A8" s="183" t="s">
        <v>152</v>
      </c>
      <c r="B8" s="108" t="s">
        <v>159</v>
      </c>
      <c r="C8" s="62"/>
      <c r="D8" s="109"/>
      <c r="E8" s="184">
        <f>Položky!G11</f>
        <v>0</v>
      </c>
      <c r="F8" s="185"/>
      <c r="G8" s="185"/>
      <c r="H8" s="185"/>
      <c r="I8" s="186"/>
    </row>
    <row r="9" spans="1:9" s="31" customFormat="1" ht="12.75">
      <c r="A9" s="183" t="s">
        <v>72</v>
      </c>
      <c r="B9" s="108" t="s">
        <v>73</v>
      </c>
      <c r="C9" s="62"/>
      <c r="D9" s="109"/>
      <c r="E9" s="184">
        <f>Položky!G44</f>
        <v>0</v>
      </c>
      <c r="F9" s="185"/>
      <c r="G9" s="185"/>
      <c r="H9" s="185"/>
      <c r="I9" s="186"/>
    </row>
    <row r="10" spans="1:9" s="31" customFormat="1" ht="12.75">
      <c r="A10" s="183" t="s">
        <v>201</v>
      </c>
      <c r="B10" s="108" t="s">
        <v>202</v>
      </c>
      <c r="C10" s="62"/>
      <c r="D10" s="109"/>
      <c r="E10" s="184">
        <f>Položky!G62</f>
        <v>0</v>
      </c>
      <c r="F10" s="185"/>
      <c r="G10" s="185"/>
      <c r="H10" s="185"/>
      <c r="I10" s="186"/>
    </row>
    <row r="11" spans="1:9" s="31" customFormat="1" ht="12.75">
      <c r="A11" s="183" t="s">
        <v>111</v>
      </c>
      <c r="B11" s="108">
        <f>Položky!C125</f>
        <v>0</v>
      </c>
      <c r="C11" s="62"/>
      <c r="D11" s="109"/>
      <c r="E11" s="184">
        <f>Položky!G66</f>
        <v>0</v>
      </c>
      <c r="F11" s="185"/>
      <c r="G11" s="185"/>
      <c r="H11" s="185"/>
      <c r="I11" s="186"/>
    </row>
    <row r="12" spans="1:9" s="31" customFormat="1" ht="12.75">
      <c r="A12" s="183" t="str">
        <f>Položky!B67</f>
        <v>87</v>
      </c>
      <c r="B12" s="108" t="str">
        <f>Položky!C67</f>
        <v>Potrubí z trub z plastických hmot</v>
      </c>
      <c r="C12" s="62"/>
      <c r="D12" s="109"/>
      <c r="E12" s="184">
        <f>Položky!G84</f>
        <v>0</v>
      </c>
      <c r="F12" s="185"/>
      <c r="G12" s="185"/>
      <c r="H12" s="185"/>
      <c r="I12" s="186"/>
    </row>
    <row r="13" spans="1:9" s="31" customFormat="1" ht="13.5" thickBot="1">
      <c r="A13" s="183">
        <f>Položky!B149</f>
        <v>0</v>
      </c>
      <c r="B13" s="108">
        <f>Položky!C149</f>
        <v>0</v>
      </c>
      <c r="C13" s="62"/>
      <c r="D13" s="109"/>
      <c r="E13" s="184">
        <f>Položky!G88</f>
        <v>0</v>
      </c>
      <c r="F13" s="185"/>
      <c r="G13" s="185"/>
      <c r="H13" s="185"/>
      <c r="I13" s="186"/>
    </row>
    <row r="14" spans="1:9" s="116" customFormat="1" ht="13.5" thickBot="1">
      <c r="A14" s="110"/>
      <c r="B14" s="111" t="s">
        <v>56</v>
      </c>
      <c r="C14" s="111"/>
      <c r="D14" s="112"/>
      <c r="E14" s="113">
        <f>SUM(E8:E13)</f>
        <v>0</v>
      </c>
      <c r="F14" s="114">
        <f>SUM(F8:F13)</f>
        <v>0</v>
      </c>
      <c r="G14" s="114">
        <f>SUM(G8:G13)</f>
        <v>0</v>
      </c>
      <c r="H14" s="114">
        <f>SUM(H8:H13)</f>
        <v>0</v>
      </c>
      <c r="I14" s="115">
        <f>SUM(I8:I13)</f>
        <v>0</v>
      </c>
    </row>
    <row r="15" spans="1:9" ht="12.75">
      <c r="A15" s="62"/>
      <c r="B15" s="62"/>
      <c r="C15" s="62"/>
      <c r="D15" s="62"/>
      <c r="E15" s="62"/>
      <c r="F15" s="62"/>
      <c r="G15" s="62"/>
      <c r="H15" s="62"/>
      <c r="I15" s="62"/>
    </row>
    <row r="16" spans="1:57" ht="19.5" customHeight="1">
      <c r="A16" s="100" t="s">
        <v>57</v>
      </c>
      <c r="B16" s="100"/>
      <c r="C16" s="100"/>
      <c r="D16" s="100"/>
      <c r="E16" s="100"/>
      <c r="F16" s="100"/>
      <c r="G16" s="117"/>
      <c r="H16" s="100"/>
      <c r="I16" s="100"/>
      <c r="BA16" s="37"/>
      <c r="BB16" s="37"/>
      <c r="BC16" s="37"/>
      <c r="BD16" s="37"/>
      <c r="BE16" s="37"/>
    </row>
    <row r="17" spans="1:9" ht="13.5" thickBot="1">
      <c r="A17" s="73"/>
      <c r="B17" s="73"/>
      <c r="C17" s="73"/>
      <c r="D17" s="73"/>
      <c r="E17" s="73"/>
      <c r="F17" s="73"/>
      <c r="G17" s="73"/>
      <c r="H17" s="73"/>
      <c r="I17" s="73"/>
    </row>
    <row r="18" spans="1:9" ht="12.75">
      <c r="A18" s="67" t="s">
        <v>58</v>
      </c>
      <c r="B18" s="68"/>
      <c r="C18" s="68"/>
      <c r="D18" s="118"/>
      <c r="E18" s="119" t="s">
        <v>59</v>
      </c>
      <c r="F18" s="120" t="s">
        <v>60</v>
      </c>
      <c r="G18" s="121" t="s">
        <v>61</v>
      </c>
      <c r="H18" s="122"/>
      <c r="I18" s="123" t="s">
        <v>59</v>
      </c>
    </row>
    <row r="19" spans="1:53" ht="12.75">
      <c r="A19" s="60" t="s">
        <v>135</v>
      </c>
      <c r="B19" s="51"/>
      <c r="C19" s="51"/>
      <c r="D19" s="124"/>
      <c r="E19" s="125">
        <v>0</v>
      </c>
      <c r="F19" s="126">
        <v>0</v>
      </c>
      <c r="G19" s="127">
        <f aca="true" t="shared" si="0" ref="G19:G26">CHOOSE(BA19+1,HSV+PSV,HSV+PSV+Mont,HSV+PSV+Dodavka+Mont,HSV,PSV,Mont,Dodavka,Mont+Dodavka,0)</f>
        <v>0</v>
      </c>
      <c r="H19" s="128"/>
      <c r="I19" s="129">
        <f aca="true" t="shared" si="1" ref="I19:I26">E19+F19*G19/100</f>
        <v>0</v>
      </c>
      <c r="BA19">
        <v>0</v>
      </c>
    </row>
    <row r="20" spans="1:53" ht="12.75">
      <c r="A20" s="60" t="s">
        <v>136</v>
      </c>
      <c r="B20" s="51"/>
      <c r="C20" s="51"/>
      <c r="D20" s="124"/>
      <c r="E20" s="125">
        <v>0</v>
      </c>
      <c r="F20" s="126">
        <v>0</v>
      </c>
      <c r="G20" s="127">
        <f t="shared" si="0"/>
        <v>0</v>
      </c>
      <c r="H20" s="128"/>
      <c r="I20" s="129">
        <f t="shared" si="1"/>
        <v>0</v>
      </c>
      <c r="BA20">
        <v>0</v>
      </c>
    </row>
    <row r="21" spans="1:53" ht="12.75">
      <c r="A21" s="60" t="s">
        <v>137</v>
      </c>
      <c r="B21" s="51"/>
      <c r="C21" s="51"/>
      <c r="D21" s="124"/>
      <c r="E21" s="125">
        <v>0</v>
      </c>
      <c r="F21" s="126">
        <v>0</v>
      </c>
      <c r="G21" s="127">
        <f t="shared" si="0"/>
        <v>0</v>
      </c>
      <c r="H21" s="128"/>
      <c r="I21" s="129">
        <f t="shared" si="1"/>
        <v>0</v>
      </c>
      <c r="BA21">
        <v>0</v>
      </c>
    </row>
    <row r="22" spans="1:53" ht="12.75">
      <c r="A22" s="60" t="s">
        <v>138</v>
      </c>
      <c r="B22" s="51"/>
      <c r="C22" s="51"/>
      <c r="D22" s="124"/>
      <c r="E22" s="125">
        <v>0</v>
      </c>
      <c r="F22" s="126">
        <v>0</v>
      </c>
      <c r="G22" s="127">
        <f t="shared" si="0"/>
        <v>0</v>
      </c>
      <c r="H22" s="128"/>
      <c r="I22" s="129">
        <f t="shared" si="1"/>
        <v>0</v>
      </c>
      <c r="BA22">
        <v>0</v>
      </c>
    </row>
    <row r="23" spans="1:53" ht="12.75">
      <c r="A23" s="60" t="s">
        <v>139</v>
      </c>
      <c r="B23" s="51"/>
      <c r="C23" s="51"/>
      <c r="D23" s="124"/>
      <c r="E23" s="125">
        <v>0</v>
      </c>
      <c r="F23" s="126">
        <v>2.5</v>
      </c>
      <c r="G23" s="127">
        <f t="shared" si="0"/>
        <v>0</v>
      </c>
      <c r="H23" s="128"/>
      <c r="I23" s="129">
        <f t="shared" si="1"/>
        <v>0</v>
      </c>
      <c r="BA23">
        <v>1</v>
      </c>
    </row>
    <row r="24" spans="1:53" ht="12.75">
      <c r="A24" s="60" t="s">
        <v>140</v>
      </c>
      <c r="B24" s="51"/>
      <c r="C24" s="51"/>
      <c r="D24" s="124"/>
      <c r="E24" s="125">
        <v>0</v>
      </c>
      <c r="F24" s="126">
        <v>0</v>
      </c>
      <c r="G24" s="127">
        <f t="shared" si="0"/>
        <v>0</v>
      </c>
      <c r="H24" s="128"/>
      <c r="I24" s="129">
        <f t="shared" si="1"/>
        <v>0</v>
      </c>
      <c r="BA24">
        <v>1</v>
      </c>
    </row>
    <row r="25" spans="1:53" ht="12.75">
      <c r="A25" s="60" t="s">
        <v>141</v>
      </c>
      <c r="B25" s="51"/>
      <c r="C25" s="51"/>
      <c r="D25" s="124"/>
      <c r="E25" s="125">
        <v>0</v>
      </c>
      <c r="F25" s="126">
        <v>1.8</v>
      </c>
      <c r="G25" s="127">
        <f t="shared" si="0"/>
        <v>0</v>
      </c>
      <c r="H25" s="128"/>
      <c r="I25" s="129">
        <f t="shared" si="1"/>
        <v>0</v>
      </c>
      <c r="BA25">
        <v>2</v>
      </c>
    </row>
    <row r="26" spans="1:53" ht="12.75">
      <c r="A26" s="60" t="s">
        <v>142</v>
      </c>
      <c r="B26" s="51"/>
      <c r="C26" s="51"/>
      <c r="D26" s="124"/>
      <c r="E26" s="125">
        <v>0</v>
      </c>
      <c r="F26" s="126">
        <v>0</v>
      </c>
      <c r="G26" s="127">
        <f t="shared" si="0"/>
        <v>0</v>
      </c>
      <c r="H26" s="128"/>
      <c r="I26" s="129">
        <f t="shared" si="1"/>
        <v>0</v>
      </c>
      <c r="BA26">
        <v>2</v>
      </c>
    </row>
    <row r="27" spans="1:9" ht="13.5" thickBot="1">
      <c r="A27" s="130"/>
      <c r="B27" s="131" t="s">
        <v>62</v>
      </c>
      <c r="C27" s="132"/>
      <c r="D27" s="133"/>
      <c r="E27" s="134"/>
      <c r="F27" s="135"/>
      <c r="G27" s="135"/>
      <c r="H27" s="266">
        <f>SUM(I19:I26)</f>
        <v>0</v>
      </c>
      <c r="I27" s="267"/>
    </row>
    <row r="29" spans="2:9" ht="12.75">
      <c r="B29" s="116"/>
      <c r="F29" s="136"/>
      <c r="G29" s="137"/>
      <c r="H29" s="137"/>
      <c r="I29" s="138"/>
    </row>
    <row r="30" spans="6:9" ht="12.75">
      <c r="F30" s="136"/>
      <c r="G30" s="137"/>
      <c r="H30" s="137"/>
      <c r="I30" s="138"/>
    </row>
    <row r="31" spans="6:9" ht="12.75">
      <c r="F31" s="136"/>
      <c r="G31" s="137"/>
      <c r="H31" s="137"/>
      <c r="I31" s="138"/>
    </row>
    <row r="32" spans="6:9" ht="12.75">
      <c r="F32" s="136"/>
      <c r="G32" s="137"/>
      <c r="H32" s="137"/>
      <c r="I32" s="138"/>
    </row>
    <row r="33" spans="6:9" ht="12.75">
      <c r="F33" s="136"/>
      <c r="G33" s="137"/>
      <c r="H33" s="137"/>
      <c r="I33" s="138"/>
    </row>
    <row r="34" spans="6:9" ht="12.75">
      <c r="F34" s="136"/>
      <c r="G34" s="137"/>
      <c r="H34" s="137"/>
      <c r="I34" s="138"/>
    </row>
    <row r="35" spans="6:9" ht="12.75">
      <c r="F35" s="136"/>
      <c r="G35" s="137"/>
      <c r="H35" s="137"/>
      <c r="I35" s="138"/>
    </row>
    <row r="36" spans="6:9" ht="12.75">
      <c r="F36" s="136"/>
      <c r="G36" s="137"/>
      <c r="H36" s="137"/>
      <c r="I36" s="138"/>
    </row>
    <row r="37" spans="6:9" ht="12.75">
      <c r="F37" s="136"/>
      <c r="G37" s="137"/>
      <c r="H37" s="137"/>
      <c r="I37" s="138"/>
    </row>
    <row r="38" spans="6:9" ht="12.75">
      <c r="F38" s="136"/>
      <c r="G38" s="137"/>
      <c r="H38" s="137"/>
      <c r="I38" s="138"/>
    </row>
    <row r="39" spans="6:9" ht="12.75">
      <c r="F39" s="136"/>
      <c r="G39" s="137"/>
      <c r="H39" s="137"/>
      <c r="I39" s="138"/>
    </row>
    <row r="40" spans="6:9" ht="12.75">
      <c r="F40" s="136"/>
      <c r="G40" s="137"/>
      <c r="H40" s="137"/>
      <c r="I40" s="138"/>
    </row>
    <row r="41" spans="6:9" ht="12.75">
      <c r="F41" s="136"/>
      <c r="G41" s="137"/>
      <c r="H41" s="137"/>
      <c r="I41" s="138"/>
    </row>
    <row r="42" spans="6:9" ht="12.75">
      <c r="F42" s="136"/>
      <c r="G42" s="137"/>
      <c r="H42" s="137"/>
      <c r="I42" s="138"/>
    </row>
    <row r="43" spans="6:9" ht="12.75">
      <c r="F43" s="136"/>
      <c r="G43" s="137"/>
      <c r="H43" s="137"/>
      <c r="I43" s="138"/>
    </row>
    <row r="44" spans="6:9" ht="12.75">
      <c r="F44" s="136"/>
      <c r="G44" s="137"/>
      <c r="H44" s="137"/>
      <c r="I44" s="138"/>
    </row>
    <row r="45" spans="6:9" ht="12.75">
      <c r="F45" s="136"/>
      <c r="G45" s="137"/>
      <c r="H45" s="137"/>
      <c r="I45" s="138"/>
    </row>
    <row r="46" spans="6:9" ht="12.75">
      <c r="F46" s="136"/>
      <c r="G46" s="137"/>
      <c r="H46" s="137"/>
      <c r="I46" s="138"/>
    </row>
    <row r="47" spans="6:9" ht="12.75">
      <c r="F47" s="136"/>
      <c r="G47" s="137"/>
      <c r="H47" s="137"/>
      <c r="I47" s="138"/>
    </row>
    <row r="48" spans="6:9" ht="12.75">
      <c r="F48" s="136"/>
      <c r="G48" s="137"/>
      <c r="H48" s="137"/>
      <c r="I48" s="138"/>
    </row>
    <row r="49" spans="6:9" ht="12.75">
      <c r="F49" s="136"/>
      <c r="G49" s="137"/>
      <c r="H49" s="137"/>
      <c r="I49" s="138"/>
    </row>
    <row r="50" spans="6:9" ht="12.75">
      <c r="F50" s="136"/>
      <c r="G50" s="137"/>
      <c r="H50" s="137"/>
      <c r="I50" s="138"/>
    </row>
    <row r="51" spans="6:9" ht="12.75">
      <c r="F51" s="136"/>
      <c r="G51" s="137"/>
      <c r="H51" s="137"/>
      <c r="I51" s="138"/>
    </row>
    <row r="52" spans="6:9" ht="12.75">
      <c r="F52" s="136"/>
      <c r="G52" s="137"/>
      <c r="H52" s="137"/>
      <c r="I52" s="138"/>
    </row>
    <row r="53" spans="6:9" ht="12.75">
      <c r="F53" s="136"/>
      <c r="G53" s="137"/>
      <c r="H53" s="137"/>
      <c r="I53" s="138"/>
    </row>
    <row r="54" spans="6:9" ht="12.75">
      <c r="F54" s="136"/>
      <c r="G54" s="137"/>
      <c r="H54" s="137"/>
      <c r="I54" s="138"/>
    </row>
    <row r="55" spans="6:9" ht="12.75">
      <c r="F55" s="136"/>
      <c r="G55" s="137"/>
      <c r="H55" s="137"/>
      <c r="I55" s="138"/>
    </row>
    <row r="56" spans="6:9" ht="12.75">
      <c r="F56" s="136"/>
      <c r="G56" s="137"/>
      <c r="H56" s="137"/>
      <c r="I56" s="138"/>
    </row>
    <row r="57" spans="6:9" ht="12.75">
      <c r="F57" s="136"/>
      <c r="G57" s="137"/>
      <c r="H57" s="137"/>
      <c r="I57" s="138"/>
    </row>
    <row r="58" spans="6:9" ht="12.75">
      <c r="F58" s="136"/>
      <c r="G58" s="137"/>
      <c r="H58" s="137"/>
      <c r="I58" s="138"/>
    </row>
    <row r="59" spans="6:9" ht="12.75">
      <c r="F59" s="136"/>
      <c r="G59" s="137"/>
      <c r="H59" s="137"/>
      <c r="I59" s="138"/>
    </row>
    <row r="60" spans="6:9" ht="12.75">
      <c r="F60" s="136"/>
      <c r="G60" s="137"/>
      <c r="H60" s="137"/>
      <c r="I60" s="138"/>
    </row>
    <row r="61" spans="6:9" ht="12.75">
      <c r="F61" s="136"/>
      <c r="G61" s="137"/>
      <c r="H61" s="137"/>
      <c r="I61" s="138"/>
    </row>
    <row r="62" spans="6:9" ht="12.75">
      <c r="F62" s="136"/>
      <c r="G62" s="137"/>
      <c r="H62" s="137"/>
      <c r="I62" s="138"/>
    </row>
    <row r="63" spans="6:9" ht="12.75">
      <c r="F63" s="136"/>
      <c r="G63" s="137"/>
      <c r="H63" s="137"/>
      <c r="I63" s="138"/>
    </row>
    <row r="64" spans="6:9" ht="12.75">
      <c r="F64" s="136"/>
      <c r="G64" s="137"/>
      <c r="H64" s="137"/>
      <c r="I64" s="138"/>
    </row>
    <row r="65" spans="6:9" ht="12.75">
      <c r="F65" s="136"/>
      <c r="G65" s="137"/>
      <c r="H65" s="137"/>
      <c r="I65" s="138"/>
    </row>
    <row r="66" spans="6:9" ht="12.75">
      <c r="F66" s="136"/>
      <c r="G66" s="137"/>
      <c r="H66" s="137"/>
      <c r="I66" s="138"/>
    </row>
    <row r="67" spans="6:9" ht="12.75">
      <c r="F67" s="136"/>
      <c r="G67" s="137"/>
      <c r="H67" s="137"/>
      <c r="I67" s="138"/>
    </row>
    <row r="68" spans="6:9" ht="12.75">
      <c r="F68" s="136"/>
      <c r="G68" s="137"/>
      <c r="H68" s="137"/>
      <c r="I68" s="138"/>
    </row>
    <row r="69" spans="6:9" ht="12.75">
      <c r="F69" s="136"/>
      <c r="G69" s="137"/>
      <c r="H69" s="137"/>
      <c r="I69" s="138"/>
    </row>
    <row r="70" spans="6:9" ht="12.75">
      <c r="F70" s="136"/>
      <c r="G70" s="137"/>
      <c r="H70" s="137"/>
      <c r="I70" s="138"/>
    </row>
    <row r="71" spans="6:9" ht="12.75">
      <c r="F71" s="136"/>
      <c r="G71" s="137"/>
      <c r="H71" s="137"/>
      <c r="I71" s="138"/>
    </row>
    <row r="72" spans="6:9" ht="12.75">
      <c r="F72" s="136"/>
      <c r="G72" s="137"/>
      <c r="H72" s="137"/>
      <c r="I72" s="138"/>
    </row>
    <row r="73" spans="6:9" ht="12.75">
      <c r="F73" s="136"/>
      <c r="G73" s="137"/>
      <c r="H73" s="137"/>
      <c r="I73" s="138"/>
    </row>
    <row r="74" spans="6:9" ht="12.75">
      <c r="F74" s="136"/>
      <c r="G74" s="137"/>
      <c r="H74" s="137"/>
      <c r="I74" s="138"/>
    </row>
    <row r="75" spans="6:9" ht="12.75">
      <c r="F75" s="136"/>
      <c r="G75" s="137"/>
      <c r="H75" s="137"/>
      <c r="I75" s="138"/>
    </row>
    <row r="76" spans="6:9" ht="12.75">
      <c r="F76" s="136"/>
      <c r="G76" s="137"/>
      <c r="H76" s="137"/>
      <c r="I76" s="138"/>
    </row>
    <row r="77" spans="6:9" ht="12.75">
      <c r="F77" s="136"/>
      <c r="G77" s="137"/>
      <c r="H77" s="137"/>
      <c r="I77" s="138"/>
    </row>
    <row r="78" spans="6:9" ht="12.75">
      <c r="F78" s="136"/>
      <c r="G78" s="137"/>
      <c r="H78" s="137"/>
      <c r="I78" s="138"/>
    </row>
  </sheetData>
  <sheetProtection/>
  <mergeCells count="5">
    <mergeCell ref="H27:I27"/>
    <mergeCell ref="A1:B1"/>
    <mergeCell ref="A2:B2"/>
    <mergeCell ref="G2:I2"/>
    <mergeCell ref="C1:F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88"/>
  <sheetViews>
    <sheetView showGridLines="0" showZeros="0" zoomScalePageLayoutView="0" workbookViewId="0" topLeftCell="A1">
      <selection activeCell="C3" sqref="C3:D3"/>
    </sheetView>
  </sheetViews>
  <sheetFormatPr defaultColWidth="9.00390625" defaultRowHeight="12.75"/>
  <cols>
    <col min="1" max="1" width="4.375" style="139" customWidth="1"/>
    <col min="2" max="2" width="11.625" style="139" customWidth="1"/>
    <col min="3" max="3" width="40.375" style="139" customWidth="1"/>
    <col min="4" max="4" width="5.625" style="139" customWidth="1"/>
    <col min="5" max="5" width="8.625" style="182" customWidth="1"/>
    <col min="6" max="6" width="9.875" style="139" customWidth="1"/>
    <col min="7" max="7" width="13.875" style="139" customWidth="1"/>
    <col min="8" max="11" width="9.125" style="139" customWidth="1"/>
    <col min="12" max="12" width="75.375" style="139" customWidth="1"/>
    <col min="13" max="13" width="45.25390625" style="139" customWidth="1"/>
    <col min="14" max="16384" width="9.125" style="139" customWidth="1"/>
  </cols>
  <sheetData>
    <row r="1" spans="1:7" ht="15.75">
      <c r="A1" s="280" t="s">
        <v>63</v>
      </c>
      <c r="B1" s="280"/>
      <c r="C1" s="280"/>
      <c r="D1" s="280"/>
      <c r="E1" s="280"/>
      <c r="F1" s="280"/>
      <c r="G1" s="280"/>
    </row>
    <row r="2" spans="1:7" ht="14.25" customHeight="1" thickBot="1">
      <c r="A2" s="140"/>
      <c r="B2" s="141"/>
      <c r="C2" s="142"/>
      <c r="D2" s="142"/>
      <c r="E2" s="143"/>
      <c r="F2" s="142"/>
      <c r="G2" s="142"/>
    </row>
    <row r="3" spans="1:7" ht="27" customHeight="1" thickTop="1">
      <c r="A3" s="268" t="s">
        <v>48</v>
      </c>
      <c r="B3" s="269"/>
      <c r="C3" s="275" t="str">
        <f>CONCATENATE(cislostavby," ",nazevstavby)</f>
        <v> Podpora rekonstrukce budovy č. p. 107 na obecní byty</v>
      </c>
      <c r="D3" s="277"/>
      <c r="E3" s="204" t="s">
        <v>161</v>
      </c>
      <c r="F3" s="144"/>
      <c r="G3" s="145"/>
    </row>
    <row r="4" spans="1:7" ht="13.5" thickBot="1">
      <c r="A4" s="281" t="s">
        <v>49</v>
      </c>
      <c r="B4" s="271"/>
      <c r="C4" s="96" t="str">
        <f>CONCATENATE(cisloobjektu," ",nazevobjektu)</f>
        <v>SO 04 Přípojka kanalizace  </v>
      </c>
      <c r="D4" s="146"/>
      <c r="E4" s="282">
        <f>Rekapitulace!G2</f>
        <v>0</v>
      </c>
      <c r="F4" s="283"/>
      <c r="G4" s="284"/>
    </row>
    <row r="5" spans="1:7" ht="13.5" thickTop="1">
      <c r="A5" s="147"/>
      <c r="B5" s="140"/>
      <c r="C5" s="140"/>
      <c r="D5" s="140"/>
      <c r="E5" s="148"/>
      <c r="F5" s="140"/>
      <c r="G5" s="149"/>
    </row>
    <row r="6" spans="1:7" ht="12.75">
      <c r="A6" s="150" t="s">
        <v>64</v>
      </c>
      <c r="B6" s="151" t="s">
        <v>65</v>
      </c>
      <c r="C6" s="151" t="s">
        <v>66</v>
      </c>
      <c r="D6" s="151" t="s">
        <v>67</v>
      </c>
      <c r="E6" s="152" t="s">
        <v>68</v>
      </c>
      <c r="F6" s="151" t="s">
        <v>69</v>
      </c>
      <c r="G6" s="153" t="s">
        <v>70</v>
      </c>
    </row>
    <row r="7" spans="1:7" ht="12.75">
      <c r="A7" s="154" t="s">
        <v>71</v>
      </c>
      <c r="B7" s="155" t="s">
        <v>152</v>
      </c>
      <c r="C7" s="156" t="s">
        <v>159</v>
      </c>
      <c r="D7" s="157"/>
      <c r="E7" s="158"/>
      <c r="F7" s="158"/>
      <c r="G7" s="159"/>
    </row>
    <row r="8" spans="1:7" ht="12.75">
      <c r="A8" s="162">
        <v>1</v>
      </c>
      <c r="B8" s="163" t="s">
        <v>153</v>
      </c>
      <c r="C8" s="164" t="s">
        <v>154</v>
      </c>
      <c r="D8" s="165" t="s">
        <v>74</v>
      </c>
      <c r="E8" s="166">
        <v>1</v>
      </c>
      <c r="F8" s="166"/>
      <c r="G8" s="167">
        <f>E8*F8</f>
        <v>0</v>
      </c>
    </row>
    <row r="9" spans="1:7" ht="12.75">
      <c r="A9" s="162">
        <v>2</v>
      </c>
      <c r="B9" s="163" t="s">
        <v>155</v>
      </c>
      <c r="C9" s="164" t="s">
        <v>156</v>
      </c>
      <c r="D9" s="165" t="s">
        <v>74</v>
      </c>
      <c r="E9" s="166">
        <v>1</v>
      </c>
      <c r="F9" s="166"/>
      <c r="G9" s="167">
        <f>E9*F9</f>
        <v>0</v>
      </c>
    </row>
    <row r="10" spans="1:7" ht="12.75">
      <c r="A10" s="162">
        <v>3</v>
      </c>
      <c r="B10" s="163" t="s">
        <v>157</v>
      </c>
      <c r="C10" s="164" t="s">
        <v>158</v>
      </c>
      <c r="D10" s="165" t="s">
        <v>74</v>
      </c>
      <c r="E10" s="166">
        <v>1</v>
      </c>
      <c r="F10" s="166"/>
      <c r="G10" s="167">
        <f>E10*F10</f>
        <v>0</v>
      </c>
    </row>
    <row r="11" spans="1:7" ht="12.75">
      <c r="A11" s="174"/>
      <c r="B11" s="175" t="s">
        <v>75</v>
      </c>
      <c r="C11" s="176" t="str">
        <f>CONCATENATE(B7," ",C7)</f>
        <v>11 Přípravné a přidružené práce</v>
      </c>
      <c r="D11" s="177"/>
      <c r="E11" s="178"/>
      <c r="F11" s="179"/>
      <c r="G11" s="180">
        <f>SUM(G8:G10)</f>
        <v>0</v>
      </c>
    </row>
    <row r="12" spans="1:15" ht="12.75">
      <c r="A12" s="154" t="s">
        <v>71</v>
      </c>
      <c r="B12" s="155" t="s">
        <v>72</v>
      </c>
      <c r="C12" s="156" t="s">
        <v>73</v>
      </c>
      <c r="D12" s="157"/>
      <c r="E12" s="158"/>
      <c r="F12" s="158"/>
      <c r="G12" s="159"/>
      <c r="H12" s="160"/>
      <c r="I12" s="160"/>
      <c r="O12" s="161">
        <v>1</v>
      </c>
    </row>
    <row r="13" spans="1:104" ht="12.75">
      <c r="A13" s="162">
        <v>4</v>
      </c>
      <c r="B13" s="163" t="s">
        <v>76</v>
      </c>
      <c r="C13" s="164" t="s">
        <v>77</v>
      </c>
      <c r="D13" s="165" t="s">
        <v>78</v>
      </c>
      <c r="E13" s="166">
        <f>SUM(E14:E16)</f>
        <v>59.3</v>
      </c>
      <c r="F13" s="166"/>
      <c r="G13" s="240">
        <f>E13*F13</f>
        <v>0</v>
      </c>
      <c r="O13" s="161">
        <v>2</v>
      </c>
      <c r="AA13" s="139">
        <v>1</v>
      </c>
      <c r="AB13" s="139">
        <v>1</v>
      </c>
      <c r="AC13" s="139">
        <v>1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A13" s="168">
        <v>1</v>
      </c>
      <c r="CB13" s="168">
        <v>1</v>
      </c>
      <c r="CZ13" s="139">
        <v>0</v>
      </c>
    </row>
    <row r="14" spans="1:15" ht="12.75">
      <c r="A14" s="169"/>
      <c r="B14" s="171"/>
      <c r="C14" s="278" t="s">
        <v>163</v>
      </c>
      <c r="D14" s="279"/>
      <c r="E14" s="172">
        <f>0.6*1.1*35</f>
        <v>23.1</v>
      </c>
      <c r="F14" s="243"/>
      <c r="G14" s="173"/>
      <c r="M14" s="170" t="s">
        <v>79</v>
      </c>
      <c r="O14" s="161"/>
    </row>
    <row r="15" spans="1:15" ht="12.75">
      <c r="A15" s="169"/>
      <c r="B15" s="171"/>
      <c r="C15" s="278" t="s">
        <v>166</v>
      </c>
      <c r="D15" s="279"/>
      <c r="E15" s="172">
        <f>0.6*1.5*6</f>
        <v>5.3999999999999995</v>
      </c>
      <c r="F15" s="243"/>
      <c r="G15" s="173"/>
      <c r="M15" s="170" t="s">
        <v>79</v>
      </c>
      <c r="O15" s="161"/>
    </row>
    <row r="16" spans="1:15" ht="12.75">
      <c r="A16" s="169"/>
      <c r="B16" s="171"/>
      <c r="C16" s="211" t="s">
        <v>213</v>
      </c>
      <c r="D16" s="212"/>
      <c r="E16" s="209">
        <v>30.8</v>
      </c>
      <c r="F16" s="241"/>
      <c r="G16" s="173"/>
      <c r="M16" s="170"/>
      <c r="O16" s="161"/>
    </row>
    <row r="17" spans="1:15" ht="12.75">
      <c r="A17" s="162">
        <v>5</v>
      </c>
      <c r="B17" s="163" t="s">
        <v>88</v>
      </c>
      <c r="C17" s="164" t="s">
        <v>89</v>
      </c>
      <c r="D17" s="165" t="s">
        <v>90</v>
      </c>
      <c r="E17" s="166">
        <f>SUM(E18:E20)</f>
        <v>165.2</v>
      </c>
      <c r="F17" s="166"/>
      <c r="G17" s="240">
        <f>E17*F17</f>
        <v>0</v>
      </c>
      <c r="M17" s="170" t="s">
        <v>80</v>
      </c>
      <c r="O17" s="161"/>
    </row>
    <row r="18" spans="1:15" ht="12.75">
      <c r="A18" s="169"/>
      <c r="B18" s="171"/>
      <c r="C18" s="278" t="s">
        <v>164</v>
      </c>
      <c r="D18" s="279"/>
      <c r="E18" s="172">
        <f>2*1.1*35</f>
        <v>77</v>
      </c>
      <c r="F18" s="243"/>
      <c r="G18" s="173"/>
      <c r="M18" s="170" t="s">
        <v>81</v>
      </c>
      <c r="O18" s="161"/>
    </row>
    <row r="19" spans="1:15" ht="12.75">
      <c r="A19" s="169"/>
      <c r="B19" s="171"/>
      <c r="C19" s="278" t="s">
        <v>167</v>
      </c>
      <c r="D19" s="279"/>
      <c r="E19" s="209">
        <f>2*1.5*6</f>
        <v>18</v>
      </c>
      <c r="F19" s="243"/>
      <c r="G19" s="173"/>
      <c r="M19" s="170"/>
      <c r="O19" s="161"/>
    </row>
    <row r="20" spans="1:15" ht="12.75">
      <c r="A20" s="169"/>
      <c r="B20" s="171"/>
      <c r="C20" s="211" t="s">
        <v>214</v>
      </c>
      <c r="D20" s="212"/>
      <c r="E20" s="209">
        <f>2*1.3*27</f>
        <v>70.2</v>
      </c>
      <c r="F20" s="241"/>
      <c r="G20" s="173"/>
      <c r="M20" s="170"/>
      <c r="O20" s="161"/>
    </row>
    <row r="21" spans="1:15" ht="12.75">
      <c r="A21" s="162">
        <v>6</v>
      </c>
      <c r="B21" s="163" t="s">
        <v>91</v>
      </c>
      <c r="C21" s="164" t="s">
        <v>92</v>
      </c>
      <c r="D21" s="165" t="s">
        <v>90</v>
      </c>
      <c r="E21" s="166">
        <f>SUM(E22:E24)</f>
        <v>165.2</v>
      </c>
      <c r="F21" s="166"/>
      <c r="G21" s="240">
        <f>E21*F21</f>
        <v>0</v>
      </c>
      <c r="M21" s="170" t="s">
        <v>82</v>
      </c>
      <c r="O21" s="161"/>
    </row>
    <row r="22" spans="1:15" ht="12.75">
      <c r="A22" s="169"/>
      <c r="B22" s="171"/>
      <c r="C22" s="278" t="s">
        <v>164</v>
      </c>
      <c r="D22" s="279"/>
      <c r="E22" s="172">
        <f>2*1.1*35</f>
        <v>77</v>
      </c>
      <c r="F22" s="243"/>
      <c r="G22" s="173"/>
      <c r="M22" s="170" t="s">
        <v>83</v>
      </c>
      <c r="O22" s="161"/>
    </row>
    <row r="23" spans="1:15" ht="12.75">
      <c r="A23" s="169"/>
      <c r="B23" s="171"/>
      <c r="C23" s="278" t="s">
        <v>167</v>
      </c>
      <c r="D23" s="279"/>
      <c r="E23" s="209">
        <f>2*1.5*6</f>
        <v>18</v>
      </c>
      <c r="F23" s="243"/>
      <c r="G23" s="173"/>
      <c r="M23" s="170"/>
      <c r="O23" s="161"/>
    </row>
    <row r="24" spans="1:15" ht="12.75">
      <c r="A24" s="169"/>
      <c r="B24" s="171"/>
      <c r="C24" s="211" t="s">
        <v>214</v>
      </c>
      <c r="D24" s="212"/>
      <c r="E24" s="209">
        <f>2*1.3*27</f>
        <v>70.2</v>
      </c>
      <c r="F24" s="241"/>
      <c r="G24" s="173"/>
      <c r="M24" s="170"/>
      <c r="O24" s="161"/>
    </row>
    <row r="25" spans="1:15" ht="12.75">
      <c r="A25" s="162">
        <v>7</v>
      </c>
      <c r="B25" s="163" t="s">
        <v>93</v>
      </c>
      <c r="C25" s="164" t="s">
        <v>94</v>
      </c>
      <c r="D25" s="165" t="s">
        <v>78</v>
      </c>
      <c r="E25" s="166">
        <f>SUM(E26:E28)</f>
        <v>59.3</v>
      </c>
      <c r="F25" s="166"/>
      <c r="G25" s="240">
        <f>E25*F25</f>
        <v>0</v>
      </c>
      <c r="M25" s="170" t="s">
        <v>84</v>
      </c>
      <c r="O25" s="161"/>
    </row>
    <row r="26" spans="1:15" ht="12.75">
      <c r="A26" s="169"/>
      <c r="B26" s="171"/>
      <c r="C26" s="278" t="s">
        <v>163</v>
      </c>
      <c r="D26" s="279"/>
      <c r="E26" s="172">
        <f>0.6*1.1*35</f>
        <v>23.1</v>
      </c>
      <c r="F26" s="243"/>
      <c r="G26" s="173"/>
      <c r="M26" s="170" t="s">
        <v>85</v>
      </c>
      <c r="O26" s="161"/>
    </row>
    <row r="27" spans="1:15" ht="12.75">
      <c r="A27" s="169"/>
      <c r="B27" s="171"/>
      <c r="C27" s="278" t="s">
        <v>166</v>
      </c>
      <c r="D27" s="279"/>
      <c r="E27" s="209">
        <f>0.6*1.5*6</f>
        <v>5.3999999999999995</v>
      </c>
      <c r="F27" s="243"/>
      <c r="G27" s="173"/>
      <c r="M27" s="170"/>
      <c r="O27" s="161"/>
    </row>
    <row r="28" spans="1:15" ht="12.75">
      <c r="A28" s="169"/>
      <c r="B28" s="171"/>
      <c r="C28" s="211" t="s">
        <v>213</v>
      </c>
      <c r="D28" s="212"/>
      <c r="E28" s="209">
        <v>30.8</v>
      </c>
      <c r="F28" s="241"/>
      <c r="G28" s="173"/>
      <c r="M28" s="170"/>
      <c r="O28" s="161"/>
    </row>
    <row r="29" spans="1:15" ht="12.75">
      <c r="A29" s="162">
        <v>8</v>
      </c>
      <c r="B29" s="163" t="s">
        <v>95</v>
      </c>
      <c r="C29" s="164" t="s">
        <v>96</v>
      </c>
      <c r="D29" s="165" t="s">
        <v>78</v>
      </c>
      <c r="E29" s="166">
        <f>SUM(E30:E31)</f>
        <v>24.779999999999998</v>
      </c>
      <c r="F29" s="166"/>
      <c r="G29" s="240">
        <f>E29*F29</f>
        <v>0</v>
      </c>
      <c r="M29" s="170" t="s">
        <v>86</v>
      </c>
      <c r="O29" s="161"/>
    </row>
    <row r="30" spans="1:15" ht="12.75">
      <c r="A30" s="169"/>
      <c r="B30" s="171"/>
      <c r="C30" s="278" t="s">
        <v>165</v>
      </c>
      <c r="D30" s="279"/>
      <c r="E30" s="189">
        <f>0.6*0.3*(35+6)</f>
        <v>7.38</v>
      </c>
      <c r="F30" s="243"/>
      <c r="G30" s="173"/>
      <c r="M30" s="170" t="s">
        <v>87</v>
      </c>
      <c r="O30" s="161"/>
    </row>
    <row r="31" spans="1:15" ht="12.75">
      <c r="A31" s="169"/>
      <c r="B31" s="171"/>
      <c r="C31" s="211" t="s">
        <v>213</v>
      </c>
      <c r="D31" s="212"/>
      <c r="E31" s="209">
        <v>17.4</v>
      </c>
      <c r="F31" s="241"/>
      <c r="G31" s="173"/>
      <c r="M31" s="170"/>
      <c r="O31" s="161"/>
    </row>
    <row r="32" spans="1:104" ht="12.75">
      <c r="A32" s="162">
        <v>9</v>
      </c>
      <c r="B32" s="163" t="s">
        <v>98</v>
      </c>
      <c r="C32" s="164" t="s">
        <v>99</v>
      </c>
      <c r="D32" s="188" t="s">
        <v>78</v>
      </c>
      <c r="E32" s="166">
        <f>SUM(E33:E35)</f>
        <v>25.32</v>
      </c>
      <c r="F32" s="166"/>
      <c r="G32" s="240">
        <f>E32*F32</f>
        <v>0</v>
      </c>
      <c r="O32" s="161">
        <v>2</v>
      </c>
      <c r="AA32" s="139">
        <v>1</v>
      </c>
      <c r="AB32" s="139">
        <v>1</v>
      </c>
      <c r="AC32" s="139">
        <v>1</v>
      </c>
      <c r="AZ32" s="139">
        <v>1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A32" s="168">
        <v>1</v>
      </c>
      <c r="CB32" s="168">
        <v>1</v>
      </c>
      <c r="CZ32" s="139">
        <v>0</v>
      </c>
    </row>
    <row r="33" spans="1:15" ht="12.75">
      <c r="A33" s="169"/>
      <c r="B33" s="171"/>
      <c r="C33" s="278" t="s">
        <v>169</v>
      </c>
      <c r="D33" s="279"/>
      <c r="E33" s="172">
        <f>0.6*0.8*35</f>
        <v>16.8</v>
      </c>
      <c r="F33" s="243"/>
      <c r="G33" s="173"/>
      <c r="M33" s="170" t="s">
        <v>100</v>
      </c>
      <c r="O33" s="161"/>
    </row>
    <row r="34" spans="1:15" ht="12.75">
      <c r="A34" s="169"/>
      <c r="B34" s="171"/>
      <c r="C34" s="210" t="s">
        <v>168</v>
      </c>
      <c r="E34" s="187">
        <f>0.6*1.2*6</f>
        <v>4.32</v>
      </c>
      <c r="F34" s="243"/>
      <c r="G34" s="173"/>
      <c r="M34" s="170" t="s">
        <v>97</v>
      </c>
      <c r="O34" s="161"/>
    </row>
    <row r="35" spans="1:15" ht="12.75">
      <c r="A35" s="169"/>
      <c r="B35" s="171"/>
      <c r="C35" s="211" t="s">
        <v>213</v>
      </c>
      <c r="E35" s="187">
        <f>1.4*0.25*12</f>
        <v>4.199999999999999</v>
      </c>
      <c r="F35" s="241"/>
      <c r="G35" s="173"/>
      <c r="M35" s="170"/>
      <c r="O35" s="161"/>
    </row>
    <row r="36" spans="1:104" ht="12.75">
      <c r="A36" s="162">
        <v>10</v>
      </c>
      <c r="B36" s="163" t="s">
        <v>101</v>
      </c>
      <c r="C36" s="164" t="s">
        <v>102</v>
      </c>
      <c r="D36" s="165" t="s">
        <v>78</v>
      </c>
      <c r="E36" s="166">
        <f>SUM(E37:E41)</f>
        <v>6.6970107500000005</v>
      </c>
      <c r="F36" s="166"/>
      <c r="G36" s="240">
        <f>E36*F36</f>
        <v>0</v>
      </c>
      <c r="O36" s="161">
        <v>2</v>
      </c>
      <c r="AA36" s="139">
        <v>1</v>
      </c>
      <c r="AB36" s="139">
        <v>1</v>
      </c>
      <c r="AC36" s="139">
        <v>1</v>
      </c>
      <c r="AZ36" s="139">
        <v>1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A36" s="168">
        <v>1</v>
      </c>
      <c r="CB36" s="168">
        <v>1</v>
      </c>
      <c r="CZ36" s="139">
        <v>0</v>
      </c>
    </row>
    <row r="37" spans="1:15" ht="12.75">
      <c r="A37" s="169"/>
      <c r="B37" s="171"/>
      <c r="C37" s="278" t="s">
        <v>103</v>
      </c>
      <c r="D37" s="279"/>
      <c r="E37" s="172">
        <v>0</v>
      </c>
      <c r="F37" s="243"/>
      <c r="G37" s="173"/>
      <c r="M37" s="170" t="s">
        <v>103</v>
      </c>
      <c r="O37" s="161"/>
    </row>
    <row r="38" spans="1:15" ht="12.75">
      <c r="A38" s="169"/>
      <c r="B38" s="171"/>
      <c r="C38" s="278" t="s">
        <v>165</v>
      </c>
      <c r="D38" s="279"/>
      <c r="E38" s="172">
        <f>0.6*0.3*(35+6)</f>
        <v>7.38</v>
      </c>
      <c r="F38" s="243"/>
      <c r="G38" s="173"/>
      <c r="M38" s="170" t="s">
        <v>79</v>
      </c>
      <c r="O38" s="161"/>
    </row>
    <row r="39" spans="1:15" ht="12.75">
      <c r="A39" s="169"/>
      <c r="B39" s="171"/>
      <c r="C39" s="278" t="s">
        <v>170</v>
      </c>
      <c r="D39" s="279"/>
      <c r="E39" s="172">
        <f>-3.14*0.0625*0.0625*18</f>
        <v>-0.22078125</v>
      </c>
      <c r="F39" s="243"/>
      <c r="G39" s="173"/>
      <c r="M39" s="170" t="s">
        <v>105</v>
      </c>
      <c r="O39" s="161"/>
    </row>
    <row r="40" spans="1:15" ht="12.75">
      <c r="A40" s="169"/>
      <c r="B40" s="171"/>
      <c r="C40" s="278" t="s">
        <v>171</v>
      </c>
      <c r="D40" s="279"/>
      <c r="E40" s="172">
        <f>-3.14*0.08*0.08*(35-18)</f>
        <v>-0.34163200000000005</v>
      </c>
      <c r="F40" s="243"/>
      <c r="G40" s="173"/>
      <c r="M40" s="170" t="s">
        <v>104</v>
      </c>
      <c r="O40" s="161"/>
    </row>
    <row r="41" spans="1:15" ht="12.75">
      <c r="A41" s="169"/>
      <c r="B41" s="171"/>
      <c r="C41" s="278" t="s">
        <v>172</v>
      </c>
      <c r="D41" s="279"/>
      <c r="E41" s="172">
        <f>-3.14*0.08*0.08*6</f>
        <v>-0.12057600000000002</v>
      </c>
      <c r="F41" s="241"/>
      <c r="G41" s="173"/>
      <c r="M41" s="170" t="s">
        <v>104</v>
      </c>
      <c r="O41" s="161"/>
    </row>
    <row r="42" spans="1:104" ht="12.75">
      <c r="A42" s="162">
        <v>11</v>
      </c>
      <c r="B42" s="163" t="s">
        <v>194</v>
      </c>
      <c r="C42" s="164" t="s">
        <v>109</v>
      </c>
      <c r="D42" s="165" t="s">
        <v>107</v>
      </c>
      <c r="E42" s="166">
        <f>28.38*1.8</f>
        <v>51.083999999999996</v>
      </c>
      <c r="F42" s="166"/>
      <c r="G42" s="240">
        <f>E42*F42</f>
        <v>0</v>
      </c>
      <c r="O42" s="161">
        <v>2</v>
      </c>
      <c r="AA42" s="139">
        <v>12</v>
      </c>
      <c r="AB42" s="139">
        <v>0</v>
      </c>
      <c r="AC42" s="139">
        <v>11</v>
      </c>
      <c r="AZ42" s="139">
        <v>1</v>
      </c>
      <c r="BA42" s="139">
        <f>IF(AZ42=1,G42,0)</f>
        <v>0</v>
      </c>
      <c r="BB42" s="139">
        <f>IF(AZ42=2,G42,0)</f>
        <v>0</v>
      </c>
      <c r="BC42" s="139">
        <f>IF(AZ42=3,G42,0)</f>
        <v>0</v>
      </c>
      <c r="BD42" s="139">
        <f>IF(AZ42=4,G42,0)</f>
        <v>0</v>
      </c>
      <c r="BE42" s="139">
        <f>IF(AZ42=5,G42,0)</f>
        <v>0</v>
      </c>
      <c r="CA42" s="168">
        <v>12</v>
      </c>
      <c r="CB42" s="168">
        <v>0</v>
      </c>
      <c r="CZ42" s="139">
        <v>0</v>
      </c>
    </row>
    <row r="43" spans="1:15" ht="12.75">
      <c r="A43" s="225"/>
      <c r="B43" s="171"/>
      <c r="C43" s="278" t="s">
        <v>207</v>
      </c>
      <c r="D43" s="279"/>
      <c r="E43" s="172"/>
      <c r="F43" s="241"/>
      <c r="G43" s="173"/>
      <c r="M43" s="170" t="s">
        <v>110</v>
      </c>
      <c r="O43" s="161"/>
    </row>
    <row r="44" spans="1:57" ht="12.75">
      <c r="A44" s="174"/>
      <c r="B44" s="175" t="s">
        <v>75</v>
      </c>
      <c r="C44" s="176" t="s">
        <v>200</v>
      </c>
      <c r="D44" s="177"/>
      <c r="E44" s="178"/>
      <c r="F44" s="179"/>
      <c r="G44" s="180">
        <f>SUM(G12:G43)</f>
        <v>0</v>
      </c>
      <c r="O44" s="161">
        <v>4</v>
      </c>
      <c r="BA44" s="181" t="e">
        <f>SUM(#REF!)</f>
        <v>#REF!</v>
      </c>
      <c r="BB44" s="181" t="e">
        <f>SUM(#REF!)</f>
        <v>#REF!</v>
      </c>
      <c r="BC44" s="181" t="e">
        <f>SUM(#REF!)</f>
        <v>#REF!</v>
      </c>
      <c r="BD44" s="181" t="e">
        <f>SUM(#REF!)</f>
        <v>#REF!</v>
      </c>
      <c r="BE44" s="181" t="e">
        <f>SUM(#REF!)</f>
        <v>#REF!</v>
      </c>
    </row>
    <row r="45" spans="1:57" s="236" customFormat="1" ht="12.75">
      <c r="A45" s="154" t="s">
        <v>71</v>
      </c>
      <c r="B45" s="155" t="s">
        <v>201</v>
      </c>
      <c r="C45" s="156" t="s">
        <v>202</v>
      </c>
      <c r="E45" s="233"/>
      <c r="F45" s="234"/>
      <c r="G45" s="235"/>
      <c r="O45" s="237"/>
      <c r="BA45" s="238"/>
      <c r="BB45" s="238"/>
      <c r="BC45" s="238"/>
      <c r="BD45" s="238"/>
      <c r="BE45" s="238"/>
    </row>
    <row r="46" spans="1:7" ht="12.75">
      <c r="A46" s="232">
        <v>12</v>
      </c>
      <c r="B46" s="163" t="s">
        <v>181</v>
      </c>
      <c r="C46" s="164" t="s">
        <v>182</v>
      </c>
      <c r="D46" s="165" t="s">
        <v>78</v>
      </c>
      <c r="E46" s="222">
        <f>1.4*0.1*12</f>
        <v>1.6799999999999997</v>
      </c>
      <c r="F46" s="166"/>
      <c r="G46" s="240">
        <f>E46*F46</f>
        <v>0</v>
      </c>
    </row>
    <row r="47" spans="1:15" ht="12.75">
      <c r="A47" s="226"/>
      <c r="B47" s="171"/>
      <c r="C47" s="278" t="s">
        <v>208</v>
      </c>
      <c r="D47" s="279"/>
      <c r="F47" s="241"/>
      <c r="G47" s="173"/>
      <c r="M47" s="170"/>
      <c r="O47" s="161"/>
    </row>
    <row r="48" spans="1:104" ht="12.75">
      <c r="A48" s="162">
        <v>13</v>
      </c>
      <c r="B48" s="163" t="s">
        <v>176</v>
      </c>
      <c r="C48" s="164" t="s">
        <v>177</v>
      </c>
      <c r="D48" s="165" t="s">
        <v>78</v>
      </c>
      <c r="E48" s="166">
        <f>SUM(E49:E51)</f>
        <v>15.112199999999998</v>
      </c>
      <c r="F48" s="166"/>
      <c r="G48" s="240">
        <f>E48*F48</f>
        <v>0</v>
      </c>
      <c r="O48" s="161">
        <v>2</v>
      </c>
      <c r="AA48" s="139">
        <v>1</v>
      </c>
      <c r="AB48" s="139">
        <v>1</v>
      </c>
      <c r="AC48" s="139">
        <v>1</v>
      </c>
      <c r="AZ48" s="139">
        <v>1</v>
      </c>
      <c r="BA48" s="139">
        <f>IF(AZ48=1,G48,0)</f>
        <v>0</v>
      </c>
      <c r="BB48" s="139">
        <f>IF(AZ48=2,G48,0)</f>
        <v>0</v>
      </c>
      <c r="BC48" s="139">
        <f>IF(AZ48=3,G48,0)</f>
        <v>0</v>
      </c>
      <c r="BD48" s="139">
        <f>IF(AZ48=4,G48,0)</f>
        <v>0</v>
      </c>
      <c r="BE48" s="139">
        <f>IF(AZ48=5,G48,0)</f>
        <v>0</v>
      </c>
      <c r="CA48" s="168">
        <v>1</v>
      </c>
      <c r="CB48" s="168">
        <v>1</v>
      </c>
      <c r="CZ48" s="139">
        <v>1.63</v>
      </c>
    </row>
    <row r="49" spans="1:15" s="197" customFormat="1" ht="12.75">
      <c r="A49" s="229"/>
      <c r="B49" s="200"/>
      <c r="C49" s="278" t="s">
        <v>209</v>
      </c>
      <c r="D49" s="279"/>
      <c r="E49" s="221">
        <f>1.4*0.95*12</f>
        <v>15.959999999999997</v>
      </c>
      <c r="F49" s="242"/>
      <c r="G49" s="202"/>
      <c r="M49" s="203"/>
      <c r="O49" s="198"/>
    </row>
    <row r="50" spans="1:15" s="218" customFormat="1" ht="12.75">
      <c r="A50" s="230"/>
      <c r="B50" s="216"/>
      <c r="C50" s="211" t="s">
        <v>180</v>
      </c>
      <c r="D50" s="212"/>
      <c r="E50" s="217">
        <f>-3.14*0.15*0.15*12</f>
        <v>-0.8477999999999999</v>
      </c>
      <c r="F50" s="243"/>
      <c r="G50" s="173"/>
      <c r="M50" s="219"/>
      <c r="O50" s="220"/>
    </row>
    <row r="51" spans="1:15" s="218" customFormat="1" ht="12.75">
      <c r="A51" s="230"/>
      <c r="B51" s="216"/>
      <c r="C51" s="211"/>
      <c r="D51" s="212"/>
      <c r="E51" s="239"/>
      <c r="F51" s="241"/>
      <c r="G51" s="173"/>
      <c r="M51" s="219"/>
      <c r="O51" s="220"/>
    </row>
    <row r="52" spans="1:15" s="197" customFormat="1" ht="12.75">
      <c r="A52" s="162">
        <v>14</v>
      </c>
      <c r="B52" s="163" t="s">
        <v>178</v>
      </c>
      <c r="C52" s="164" t="s">
        <v>179</v>
      </c>
      <c r="D52" s="165" t="s">
        <v>90</v>
      </c>
      <c r="E52" s="215">
        <f>2*3.14*0.15*12</f>
        <v>11.303999999999998</v>
      </c>
      <c r="F52" s="166"/>
      <c r="G52" s="244">
        <f>E52*F52</f>
        <v>0</v>
      </c>
      <c r="M52" s="203"/>
      <c r="O52" s="198"/>
    </row>
    <row r="53" spans="1:15" s="197" customFormat="1" ht="12.75">
      <c r="A53" s="229"/>
      <c r="B53" s="200"/>
      <c r="C53" s="213" t="s">
        <v>185</v>
      </c>
      <c r="D53" s="214"/>
      <c r="F53" s="245"/>
      <c r="G53" s="202"/>
      <c r="M53" s="203"/>
      <c r="O53" s="198"/>
    </row>
    <row r="54" spans="1:104" s="197" customFormat="1" ht="12.75">
      <c r="A54" s="190">
        <v>15</v>
      </c>
      <c r="B54" s="191" t="s">
        <v>183</v>
      </c>
      <c r="C54" s="192" t="s">
        <v>106</v>
      </c>
      <c r="D54" s="193" t="s">
        <v>107</v>
      </c>
      <c r="E54" s="194">
        <f>6.7*1.85</f>
        <v>12.395000000000001</v>
      </c>
      <c r="F54" s="195"/>
      <c r="G54" s="244">
        <f>E54*F54</f>
        <v>0</v>
      </c>
      <c r="O54" s="198">
        <v>2</v>
      </c>
      <c r="AA54" s="197">
        <v>12</v>
      </c>
      <c r="AB54" s="197">
        <v>0</v>
      </c>
      <c r="AC54" s="197">
        <v>6</v>
      </c>
      <c r="AZ54" s="197">
        <v>1</v>
      </c>
      <c r="BA54" s="197">
        <f>IF(AZ54=1,G54,0)</f>
        <v>0</v>
      </c>
      <c r="BB54" s="197">
        <f>IF(AZ54=2,G54,0)</f>
        <v>0</v>
      </c>
      <c r="BC54" s="197">
        <f>IF(AZ54=3,G54,0)</f>
        <v>0</v>
      </c>
      <c r="BD54" s="197">
        <f>IF(AZ54=4,G54,0)</f>
        <v>0</v>
      </c>
      <c r="BE54" s="197">
        <f>IF(AZ54=5,G54,0)</f>
        <v>0</v>
      </c>
      <c r="CA54" s="199">
        <v>12</v>
      </c>
      <c r="CB54" s="199">
        <v>0</v>
      </c>
      <c r="CZ54" s="197">
        <v>0</v>
      </c>
    </row>
    <row r="55" spans="1:15" s="197" customFormat="1" ht="12.75">
      <c r="A55" s="231"/>
      <c r="B55" s="200"/>
      <c r="C55" s="285" t="s">
        <v>173</v>
      </c>
      <c r="D55" s="286"/>
      <c r="F55" s="245"/>
      <c r="G55" s="202"/>
      <c r="M55" s="203" t="s">
        <v>108</v>
      </c>
      <c r="O55" s="198"/>
    </row>
    <row r="56" spans="1:15" s="197" customFormat="1" ht="12.75">
      <c r="A56" s="228">
        <v>16</v>
      </c>
      <c r="B56" s="191" t="s">
        <v>203</v>
      </c>
      <c r="C56" s="192" t="s">
        <v>191</v>
      </c>
      <c r="D56" s="193" t="s">
        <v>107</v>
      </c>
      <c r="E56" s="194">
        <f>(5.11+3.36)*1.85</f>
        <v>15.669500000000001</v>
      </c>
      <c r="F56" s="195"/>
      <c r="G56" s="244">
        <f>E56*F56</f>
        <v>0</v>
      </c>
      <c r="M56" s="203"/>
      <c r="O56" s="198"/>
    </row>
    <row r="57" spans="1:15" s="197" customFormat="1" ht="12.75">
      <c r="A57" s="231"/>
      <c r="B57" s="200"/>
      <c r="C57" s="285" t="s">
        <v>212</v>
      </c>
      <c r="D57" s="286"/>
      <c r="F57" s="245"/>
      <c r="G57" s="202"/>
      <c r="M57" s="203"/>
      <c r="O57" s="198"/>
    </row>
    <row r="58" spans="1:15" s="197" customFormat="1" ht="12.75">
      <c r="A58" s="229">
        <v>17</v>
      </c>
      <c r="B58" s="191" t="s">
        <v>204</v>
      </c>
      <c r="C58" s="192" t="s">
        <v>192</v>
      </c>
      <c r="D58" s="193" t="s">
        <v>107</v>
      </c>
      <c r="E58" s="194">
        <v>3.11</v>
      </c>
      <c r="F58" s="195"/>
      <c r="G58" s="244">
        <f>E58*F58</f>
        <v>0</v>
      </c>
      <c r="M58" s="203"/>
      <c r="O58" s="198"/>
    </row>
    <row r="59" spans="1:15" s="197" customFormat="1" ht="12.75">
      <c r="A59" s="229"/>
      <c r="B59" s="200"/>
      <c r="C59" s="285" t="s">
        <v>210</v>
      </c>
      <c r="D59" s="286"/>
      <c r="F59" s="245"/>
      <c r="G59" s="202"/>
      <c r="M59" s="203"/>
      <c r="O59" s="198"/>
    </row>
    <row r="60" spans="1:15" s="197" customFormat="1" ht="12.75">
      <c r="A60" s="224">
        <v>18</v>
      </c>
      <c r="B60" s="191" t="s">
        <v>195</v>
      </c>
      <c r="C60" s="192" t="s">
        <v>184</v>
      </c>
      <c r="D60" s="193" t="s">
        <v>90</v>
      </c>
      <c r="E60" s="195">
        <f>2*3.14*0.15*12*1.05</f>
        <v>11.8692</v>
      </c>
      <c r="F60" s="195"/>
      <c r="G60" s="244">
        <f>E60*F60</f>
        <v>0</v>
      </c>
      <c r="M60" s="203"/>
      <c r="O60" s="198"/>
    </row>
    <row r="61" spans="1:15" s="197" customFormat="1" ht="12.75">
      <c r="A61" s="231"/>
      <c r="B61" s="200"/>
      <c r="C61" s="213" t="s">
        <v>186</v>
      </c>
      <c r="D61" s="214"/>
      <c r="F61" s="245"/>
      <c r="G61" s="202"/>
      <c r="M61" s="203"/>
      <c r="O61" s="198"/>
    </row>
    <row r="62" spans="1:57" ht="12.75">
      <c r="A62" s="174"/>
      <c r="B62" s="175" t="s">
        <v>75</v>
      </c>
      <c r="C62" s="176" t="s">
        <v>205</v>
      </c>
      <c r="D62" s="177"/>
      <c r="E62" s="178"/>
      <c r="F62" s="179"/>
      <c r="G62" s="180">
        <f>SUM(G46:G61)</f>
        <v>0</v>
      </c>
      <c r="O62" s="161">
        <v>4</v>
      </c>
      <c r="BA62" s="181" t="e">
        <f>SUM(BA8:BA57)</f>
        <v>#REF!</v>
      </c>
      <c r="BB62" s="181" t="e">
        <f>SUM(BB8:BB57)</f>
        <v>#REF!</v>
      </c>
      <c r="BC62" s="181" t="e">
        <f>SUM(BC8:BC57)</f>
        <v>#REF!</v>
      </c>
      <c r="BD62" s="181" t="e">
        <f>SUM(BD8:BD57)</f>
        <v>#REF!</v>
      </c>
      <c r="BE62" s="181" t="e">
        <f>SUM(BE8:BE57)</f>
        <v>#REF!</v>
      </c>
    </row>
    <row r="63" spans="1:15" s="197" customFormat="1" ht="12.75">
      <c r="A63" s="154" t="s">
        <v>71</v>
      </c>
      <c r="B63" s="155" t="s">
        <v>111</v>
      </c>
      <c r="C63" s="156" t="s">
        <v>112</v>
      </c>
      <c r="D63" s="214"/>
      <c r="F63" s="201"/>
      <c r="G63" s="202"/>
      <c r="M63" s="203"/>
      <c r="O63" s="198"/>
    </row>
    <row r="64" spans="1:104" ht="12.75">
      <c r="A64" s="162">
        <v>19</v>
      </c>
      <c r="B64" s="163" t="s">
        <v>113</v>
      </c>
      <c r="C64" s="164" t="s">
        <v>114</v>
      </c>
      <c r="D64" s="165" t="s">
        <v>78</v>
      </c>
      <c r="E64" s="246">
        <f>E65</f>
        <v>3.3599999999999994</v>
      </c>
      <c r="F64" s="166"/>
      <c r="G64" s="240">
        <f>E64*F64</f>
        <v>0</v>
      </c>
      <c r="O64" s="161">
        <v>2</v>
      </c>
      <c r="AA64" s="139">
        <v>1</v>
      </c>
      <c r="AB64" s="139">
        <v>1</v>
      </c>
      <c r="AC64" s="139">
        <v>1</v>
      </c>
      <c r="AZ64" s="139">
        <v>1</v>
      </c>
      <c r="BA64" s="139">
        <f>IF(AZ64=1,G64,0)</f>
        <v>0</v>
      </c>
      <c r="BB64" s="139">
        <f>IF(AZ64=2,G64,0)</f>
        <v>0</v>
      </c>
      <c r="BC64" s="139">
        <f>IF(AZ64=3,G64,0)</f>
        <v>0</v>
      </c>
      <c r="BD64" s="139">
        <f>IF(AZ64=4,G64,0)</f>
        <v>0</v>
      </c>
      <c r="BE64" s="139">
        <f>IF(AZ64=5,G64,0)</f>
        <v>0</v>
      </c>
      <c r="CA64" s="168">
        <v>1</v>
      </c>
      <c r="CB64" s="168">
        <v>1</v>
      </c>
      <c r="CZ64" s="139">
        <v>1.89077</v>
      </c>
    </row>
    <row r="65" spans="1:15" ht="12.75">
      <c r="A65" s="225"/>
      <c r="B65" s="171"/>
      <c r="C65" s="278" t="s">
        <v>211</v>
      </c>
      <c r="D65" s="279"/>
      <c r="E65" s="247">
        <f>1.4*0.2*12</f>
        <v>3.3599999999999994</v>
      </c>
      <c r="F65" s="241"/>
      <c r="G65" s="173"/>
      <c r="M65" s="170" t="s">
        <v>79</v>
      </c>
      <c r="O65" s="161"/>
    </row>
    <row r="66" spans="1:57" ht="12.75">
      <c r="A66" s="174"/>
      <c r="B66" s="175" t="s">
        <v>75</v>
      </c>
      <c r="C66" s="176" t="s">
        <v>206</v>
      </c>
      <c r="D66" s="177"/>
      <c r="E66" s="178"/>
      <c r="F66" s="248"/>
      <c r="G66" s="180">
        <f>SUM(G63:G65)</f>
        <v>0</v>
      </c>
      <c r="O66" s="161">
        <v>4</v>
      </c>
      <c r="BA66" s="181" t="e">
        <f>SUM(BA12:BA61)</f>
        <v>#REF!</v>
      </c>
      <c r="BB66" s="181" t="e">
        <f>SUM(BB12:BB61)</f>
        <v>#REF!</v>
      </c>
      <c r="BC66" s="181" t="e">
        <f>SUM(BC12:BC61)</f>
        <v>#REF!</v>
      </c>
      <c r="BD66" s="181" t="e">
        <f>SUM(BD12:BD61)</f>
        <v>#REF!</v>
      </c>
      <c r="BE66" s="181" t="e">
        <f>SUM(BE12:BE61)</f>
        <v>#REF!</v>
      </c>
    </row>
    <row r="67" spans="1:15" ht="12.75">
      <c r="A67" s="154" t="s">
        <v>71</v>
      </c>
      <c r="B67" s="155" t="s">
        <v>115</v>
      </c>
      <c r="C67" s="156" t="s">
        <v>116</v>
      </c>
      <c r="D67" s="157"/>
      <c r="E67" s="158"/>
      <c r="F67" s="158"/>
      <c r="G67" s="159"/>
      <c r="H67" s="160"/>
      <c r="I67" s="160"/>
      <c r="O67" s="161">
        <v>1</v>
      </c>
    </row>
    <row r="68" spans="1:15" ht="12.75">
      <c r="A68" s="224">
        <v>20</v>
      </c>
      <c r="B68" s="163" t="s">
        <v>120</v>
      </c>
      <c r="C68" s="164" t="s">
        <v>121</v>
      </c>
      <c r="D68" s="165" t="s">
        <v>119</v>
      </c>
      <c r="E68" s="166">
        <v>12</v>
      </c>
      <c r="F68" s="166"/>
      <c r="G68" s="240">
        <f>E68*F68</f>
        <v>0</v>
      </c>
      <c r="H68" s="160"/>
      <c r="I68" s="160"/>
      <c r="O68" s="161"/>
    </row>
    <row r="69" spans="1:15" ht="12.75">
      <c r="A69" s="223"/>
      <c r="B69" s="171"/>
      <c r="C69" s="278" t="s">
        <v>193</v>
      </c>
      <c r="D69" s="279"/>
      <c r="E69" s="172">
        <v>0</v>
      </c>
      <c r="F69" s="241"/>
      <c r="G69" s="173"/>
      <c r="H69" s="160"/>
      <c r="I69" s="160"/>
      <c r="O69" s="161"/>
    </row>
    <row r="70" spans="1:15" ht="12.75">
      <c r="A70" s="227">
        <v>21</v>
      </c>
      <c r="B70" s="191" t="s">
        <v>125</v>
      </c>
      <c r="C70" s="192" t="s">
        <v>187</v>
      </c>
      <c r="D70" s="193" t="s">
        <v>119</v>
      </c>
      <c r="E70" s="195">
        <v>12</v>
      </c>
      <c r="F70" s="195"/>
      <c r="G70" s="196">
        <f>E70*F70</f>
        <v>0</v>
      </c>
      <c r="H70" s="160"/>
      <c r="I70" s="160"/>
      <c r="O70" s="161"/>
    </row>
    <row r="71" spans="1:15" ht="12.75">
      <c r="A71" s="227">
        <v>22</v>
      </c>
      <c r="B71" s="191" t="s">
        <v>127</v>
      </c>
      <c r="C71" s="192" t="s">
        <v>188</v>
      </c>
      <c r="D71" s="165" t="s">
        <v>124</v>
      </c>
      <c r="E71" s="166">
        <v>1</v>
      </c>
      <c r="F71" s="166"/>
      <c r="G71" s="167">
        <f>E71*F71</f>
        <v>0</v>
      </c>
      <c r="H71" s="160"/>
      <c r="I71" s="160"/>
      <c r="O71" s="161"/>
    </row>
    <row r="72" spans="1:15" ht="12.75">
      <c r="A72" s="227">
        <v>23</v>
      </c>
      <c r="B72" s="191" t="s">
        <v>128</v>
      </c>
      <c r="C72" s="192" t="s">
        <v>189</v>
      </c>
      <c r="D72" s="165" t="s">
        <v>124</v>
      </c>
      <c r="E72" s="166">
        <v>1</v>
      </c>
      <c r="F72" s="166"/>
      <c r="G72" s="167">
        <f>E72*F72</f>
        <v>0</v>
      </c>
      <c r="H72" s="160"/>
      <c r="I72" s="160"/>
      <c r="O72" s="161"/>
    </row>
    <row r="73" spans="1:104" ht="12.75">
      <c r="A73" s="162">
        <v>24</v>
      </c>
      <c r="B73" s="163" t="s">
        <v>117</v>
      </c>
      <c r="C73" s="164" t="s">
        <v>118</v>
      </c>
      <c r="D73" s="165" t="s">
        <v>119</v>
      </c>
      <c r="E73" s="166">
        <f>35+6</f>
        <v>41</v>
      </c>
      <c r="F73" s="166"/>
      <c r="G73" s="167">
        <f aca="true" t="shared" si="0" ref="G73:G82">E73*F73</f>
        <v>0</v>
      </c>
      <c r="O73" s="161">
        <v>2</v>
      </c>
      <c r="AA73" s="139">
        <v>1</v>
      </c>
      <c r="AB73" s="139">
        <v>1</v>
      </c>
      <c r="AC73" s="139">
        <v>1</v>
      </c>
      <c r="AZ73" s="139">
        <v>1</v>
      </c>
      <c r="BA73" s="139">
        <f aca="true" t="shared" si="1" ref="BA73:BA82">IF(AZ73=1,G73,0)</f>
        <v>0</v>
      </c>
      <c r="BB73" s="139">
        <f aca="true" t="shared" si="2" ref="BB73:BB82">IF(AZ73=2,G73,0)</f>
        <v>0</v>
      </c>
      <c r="BC73" s="139">
        <f aca="true" t="shared" si="3" ref="BC73:BC82">IF(AZ73=3,G73,0)</f>
        <v>0</v>
      </c>
      <c r="BD73" s="139">
        <f aca="true" t="shared" si="4" ref="BD73:BD82">IF(AZ73=4,G73,0)</f>
        <v>0</v>
      </c>
      <c r="BE73" s="139">
        <f aca="true" t="shared" si="5" ref="BE73:BE82">IF(AZ73=5,G73,0)</f>
        <v>0</v>
      </c>
      <c r="CA73" s="168">
        <v>1</v>
      </c>
      <c r="CB73" s="168">
        <v>1</v>
      </c>
      <c r="CZ73" s="139">
        <v>0</v>
      </c>
    </row>
    <row r="74" spans="1:104" ht="12.75">
      <c r="A74" s="162">
        <v>25</v>
      </c>
      <c r="B74" s="163" t="s">
        <v>122</v>
      </c>
      <c r="C74" s="164" t="s">
        <v>123</v>
      </c>
      <c r="D74" s="165" t="s">
        <v>124</v>
      </c>
      <c r="E74" s="166">
        <v>14</v>
      </c>
      <c r="F74" s="166"/>
      <c r="G74" s="167">
        <f t="shared" si="0"/>
        <v>0</v>
      </c>
      <c r="O74" s="161">
        <v>2</v>
      </c>
      <c r="AA74" s="139">
        <v>1</v>
      </c>
      <c r="AB74" s="139">
        <v>1</v>
      </c>
      <c r="AC74" s="139">
        <v>1</v>
      </c>
      <c r="AZ74" s="139">
        <v>1</v>
      </c>
      <c r="BA74" s="139">
        <f t="shared" si="1"/>
        <v>0</v>
      </c>
      <c r="BB74" s="139">
        <f t="shared" si="2"/>
        <v>0</v>
      </c>
      <c r="BC74" s="139">
        <f t="shared" si="3"/>
        <v>0</v>
      </c>
      <c r="BD74" s="139">
        <f t="shared" si="4"/>
        <v>0</v>
      </c>
      <c r="BE74" s="139">
        <f t="shared" si="5"/>
        <v>0</v>
      </c>
      <c r="CA74" s="168">
        <v>1</v>
      </c>
      <c r="CB74" s="168">
        <v>1</v>
      </c>
      <c r="CZ74" s="139">
        <v>2E-05</v>
      </c>
    </row>
    <row r="75" spans="1:80" ht="12.75">
      <c r="A75" s="162">
        <v>26</v>
      </c>
      <c r="B75" s="163" t="s">
        <v>25</v>
      </c>
      <c r="C75" s="164" t="s">
        <v>147</v>
      </c>
      <c r="D75" s="165" t="s">
        <v>124</v>
      </c>
      <c r="E75" s="166">
        <v>4</v>
      </c>
      <c r="F75" s="166"/>
      <c r="G75" s="167">
        <f>E75*F75</f>
        <v>0</v>
      </c>
      <c r="O75" s="161"/>
      <c r="CA75" s="168"/>
      <c r="CB75" s="168"/>
    </row>
    <row r="76" spans="1:104" s="197" customFormat="1" ht="12.75">
      <c r="A76" s="190">
        <v>27</v>
      </c>
      <c r="B76" s="191" t="s">
        <v>150</v>
      </c>
      <c r="C76" s="192" t="s">
        <v>126</v>
      </c>
      <c r="D76" s="193" t="s">
        <v>119</v>
      </c>
      <c r="E76" s="195">
        <v>18</v>
      </c>
      <c r="F76" s="195"/>
      <c r="G76" s="196">
        <f t="shared" si="0"/>
        <v>0</v>
      </c>
      <c r="O76" s="198">
        <v>2</v>
      </c>
      <c r="AA76" s="197">
        <v>12</v>
      </c>
      <c r="AB76" s="197">
        <v>0</v>
      </c>
      <c r="AC76" s="197">
        <v>18</v>
      </c>
      <c r="AZ76" s="197">
        <v>1</v>
      </c>
      <c r="BA76" s="197">
        <f t="shared" si="1"/>
        <v>0</v>
      </c>
      <c r="BB76" s="197">
        <f t="shared" si="2"/>
        <v>0</v>
      </c>
      <c r="BC76" s="197">
        <f t="shared" si="3"/>
        <v>0</v>
      </c>
      <c r="BD76" s="197">
        <f t="shared" si="4"/>
        <v>0</v>
      </c>
      <c r="BE76" s="197">
        <f t="shared" si="5"/>
        <v>0</v>
      </c>
      <c r="CA76" s="199">
        <v>12</v>
      </c>
      <c r="CB76" s="199">
        <v>0</v>
      </c>
      <c r="CZ76" s="197">
        <v>0.001</v>
      </c>
    </row>
    <row r="77" spans="1:104" s="197" customFormat="1" ht="12.75">
      <c r="A77" s="190">
        <v>28</v>
      </c>
      <c r="B77" s="191" t="s">
        <v>149</v>
      </c>
      <c r="C77" s="192" t="s">
        <v>143</v>
      </c>
      <c r="D77" s="193" t="s">
        <v>119</v>
      </c>
      <c r="E77" s="195">
        <f>35+6-18</f>
        <v>23</v>
      </c>
      <c r="F77" s="195"/>
      <c r="G77" s="196">
        <f t="shared" si="0"/>
        <v>0</v>
      </c>
      <c r="O77" s="198">
        <v>2</v>
      </c>
      <c r="AA77" s="197">
        <v>12</v>
      </c>
      <c r="AB77" s="197">
        <v>0</v>
      </c>
      <c r="AC77" s="197">
        <v>18</v>
      </c>
      <c r="AZ77" s="197">
        <v>1</v>
      </c>
      <c r="BA77" s="197">
        <f t="shared" si="1"/>
        <v>0</v>
      </c>
      <c r="BB77" s="197">
        <f t="shared" si="2"/>
        <v>0</v>
      </c>
      <c r="BC77" s="197">
        <f t="shared" si="3"/>
        <v>0</v>
      </c>
      <c r="BD77" s="197">
        <f t="shared" si="4"/>
        <v>0</v>
      </c>
      <c r="BE77" s="197">
        <f t="shared" si="5"/>
        <v>0</v>
      </c>
      <c r="CA77" s="199">
        <v>12</v>
      </c>
      <c r="CB77" s="199">
        <v>0</v>
      </c>
      <c r="CZ77" s="197">
        <v>0.001</v>
      </c>
    </row>
    <row r="78" spans="1:80" s="197" customFormat="1" ht="12.75">
      <c r="A78" s="190">
        <v>29</v>
      </c>
      <c r="B78" s="191" t="s">
        <v>148</v>
      </c>
      <c r="C78" s="192" t="s">
        <v>190</v>
      </c>
      <c r="D78" s="193" t="s">
        <v>74</v>
      </c>
      <c r="E78" s="195">
        <v>1</v>
      </c>
      <c r="F78" s="195"/>
      <c r="G78" s="196">
        <f>E78*F78</f>
        <v>0</v>
      </c>
      <c r="O78" s="198"/>
      <c r="CA78" s="199"/>
      <c r="CB78" s="199"/>
    </row>
    <row r="79" spans="1:104" s="197" customFormat="1" ht="12.75">
      <c r="A79" s="190">
        <v>30</v>
      </c>
      <c r="B79" s="191" t="s">
        <v>174</v>
      </c>
      <c r="C79" s="192" t="s">
        <v>144</v>
      </c>
      <c r="D79" s="193" t="s">
        <v>74</v>
      </c>
      <c r="E79" s="195">
        <v>2</v>
      </c>
      <c r="F79" s="195"/>
      <c r="G79" s="196">
        <f t="shared" si="0"/>
        <v>0</v>
      </c>
      <c r="O79" s="198">
        <v>2</v>
      </c>
      <c r="AA79" s="197">
        <v>12</v>
      </c>
      <c r="AB79" s="197">
        <v>0</v>
      </c>
      <c r="AC79" s="197">
        <v>20</v>
      </c>
      <c r="AZ79" s="197">
        <v>1</v>
      </c>
      <c r="BA79" s="197">
        <f t="shared" si="1"/>
        <v>0</v>
      </c>
      <c r="BB79" s="197">
        <f t="shared" si="2"/>
        <v>0</v>
      </c>
      <c r="BC79" s="197">
        <f t="shared" si="3"/>
        <v>0</v>
      </c>
      <c r="BD79" s="197">
        <f t="shared" si="4"/>
        <v>0</v>
      </c>
      <c r="BE79" s="197">
        <f t="shared" si="5"/>
        <v>0</v>
      </c>
      <c r="CA79" s="199">
        <v>12</v>
      </c>
      <c r="CB79" s="199">
        <v>0</v>
      </c>
      <c r="CZ79" s="197">
        <v>0.004</v>
      </c>
    </row>
    <row r="80" spans="1:104" s="197" customFormat="1" ht="12.75">
      <c r="A80" s="190">
        <v>31</v>
      </c>
      <c r="B80" s="191" t="s">
        <v>196</v>
      </c>
      <c r="C80" s="192" t="s">
        <v>175</v>
      </c>
      <c r="D80" s="193" t="s">
        <v>74</v>
      </c>
      <c r="E80" s="195">
        <v>2</v>
      </c>
      <c r="F80" s="195"/>
      <c r="G80" s="196">
        <f>E80*F80</f>
        <v>0</v>
      </c>
      <c r="O80" s="198">
        <v>2</v>
      </c>
      <c r="AA80" s="197">
        <v>12</v>
      </c>
      <c r="AB80" s="197">
        <v>0</v>
      </c>
      <c r="AC80" s="197">
        <v>20</v>
      </c>
      <c r="AZ80" s="197">
        <v>1</v>
      </c>
      <c r="BA80" s="197">
        <f>IF(AZ80=1,G80,0)</f>
        <v>0</v>
      </c>
      <c r="BB80" s="197">
        <f>IF(AZ80=2,G80,0)</f>
        <v>0</v>
      </c>
      <c r="BC80" s="197">
        <f>IF(AZ80=3,G80,0)</f>
        <v>0</v>
      </c>
      <c r="BD80" s="197">
        <f>IF(AZ80=4,G80,0)</f>
        <v>0</v>
      </c>
      <c r="BE80" s="197">
        <f>IF(AZ80=5,G80,0)</f>
        <v>0</v>
      </c>
      <c r="CA80" s="199">
        <v>12</v>
      </c>
      <c r="CB80" s="199">
        <v>0</v>
      </c>
      <c r="CZ80" s="197">
        <v>0.004</v>
      </c>
    </row>
    <row r="81" spans="1:104" s="197" customFormat="1" ht="12.75">
      <c r="A81" s="190">
        <v>32</v>
      </c>
      <c r="B81" s="191" t="s">
        <v>197</v>
      </c>
      <c r="C81" s="192" t="s">
        <v>145</v>
      </c>
      <c r="D81" s="193" t="s">
        <v>74</v>
      </c>
      <c r="E81" s="195">
        <v>4</v>
      </c>
      <c r="F81" s="195"/>
      <c r="G81" s="196">
        <f t="shared" si="0"/>
        <v>0</v>
      </c>
      <c r="O81" s="198">
        <v>2</v>
      </c>
      <c r="AA81" s="197">
        <v>12</v>
      </c>
      <c r="AB81" s="197">
        <v>0</v>
      </c>
      <c r="AC81" s="197">
        <v>20</v>
      </c>
      <c r="AZ81" s="197">
        <v>1</v>
      </c>
      <c r="BA81" s="197">
        <f t="shared" si="1"/>
        <v>0</v>
      </c>
      <c r="BB81" s="197">
        <f t="shared" si="2"/>
        <v>0</v>
      </c>
      <c r="BC81" s="197">
        <f t="shared" si="3"/>
        <v>0</v>
      </c>
      <c r="BD81" s="197">
        <f t="shared" si="4"/>
        <v>0</v>
      </c>
      <c r="BE81" s="197">
        <f t="shared" si="5"/>
        <v>0</v>
      </c>
      <c r="CA81" s="199">
        <v>12</v>
      </c>
      <c r="CB81" s="199">
        <v>0</v>
      </c>
      <c r="CZ81" s="197">
        <v>0.004</v>
      </c>
    </row>
    <row r="82" spans="1:104" s="197" customFormat="1" ht="12.75">
      <c r="A82" s="190">
        <v>33</v>
      </c>
      <c r="B82" s="191" t="s">
        <v>198</v>
      </c>
      <c r="C82" s="192" t="s">
        <v>146</v>
      </c>
      <c r="D82" s="193" t="s">
        <v>74</v>
      </c>
      <c r="E82" s="195">
        <v>1</v>
      </c>
      <c r="F82" s="195"/>
      <c r="G82" s="196">
        <f t="shared" si="0"/>
        <v>0</v>
      </c>
      <c r="O82" s="198">
        <v>2</v>
      </c>
      <c r="AA82" s="197">
        <v>12</v>
      </c>
      <c r="AB82" s="197">
        <v>0</v>
      </c>
      <c r="AC82" s="197">
        <v>20</v>
      </c>
      <c r="AZ82" s="197">
        <v>1</v>
      </c>
      <c r="BA82" s="197">
        <f t="shared" si="1"/>
        <v>0</v>
      </c>
      <c r="BB82" s="197">
        <f t="shared" si="2"/>
        <v>0</v>
      </c>
      <c r="BC82" s="197">
        <f t="shared" si="3"/>
        <v>0</v>
      </c>
      <c r="BD82" s="197">
        <f t="shared" si="4"/>
        <v>0</v>
      </c>
      <c r="BE82" s="197">
        <f t="shared" si="5"/>
        <v>0</v>
      </c>
      <c r="CA82" s="199">
        <v>12</v>
      </c>
      <c r="CB82" s="199">
        <v>0</v>
      </c>
      <c r="CZ82" s="197">
        <v>0.004</v>
      </c>
    </row>
    <row r="83" spans="1:104" s="197" customFormat="1" ht="12.75">
      <c r="A83" s="190">
        <v>34</v>
      </c>
      <c r="B83" s="191" t="s">
        <v>199</v>
      </c>
      <c r="C83" s="192" t="s">
        <v>151</v>
      </c>
      <c r="D83" s="193" t="s">
        <v>74</v>
      </c>
      <c r="E83" s="195">
        <v>4</v>
      </c>
      <c r="F83" s="195"/>
      <c r="G83" s="196">
        <f>E83*F83</f>
        <v>0</v>
      </c>
      <c r="O83" s="198">
        <v>2</v>
      </c>
      <c r="AA83" s="197">
        <v>12</v>
      </c>
      <c r="AB83" s="197">
        <v>0</v>
      </c>
      <c r="AC83" s="197">
        <v>18</v>
      </c>
      <c r="AZ83" s="197">
        <v>1</v>
      </c>
      <c r="BA83" s="197">
        <f>IF(AZ83=1,G83,0)</f>
        <v>0</v>
      </c>
      <c r="BB83" s="197">
        <f>IF(AZ83=2,G83,0)</f>
        <v>0</v>
      </c>
      <c r="BC83" s="197">
        <f>IF(AZ83=3,G83,0)</f>
        <v>0</v>
      </c>
      <c r="BD83" s="197">
        <f>IF(AZ83=4,G83,0)</f>
        <v>0</v>
      </c>
      <c r="BE83" s="197">
        <f>IF(AZ83=5,G83,0)</f>
        <v>0</v>
      </c>
      <c r="CA83" s="199">
        <v>12</v>
      </c>
      <c r="CB83" s="199">
        <v>0</v>
      </c>
      <c r="CZ83" s="197">
        <v>0.001</v>
      </c>
    </row>
    <row r="84" spans="1:57" ht="12.75">
      <c r="A84" s="174"/>
      <c r="B84" s="175" t="s">
        <v>75</v>
      </c>
      <c r="C84" s="176" t="str">
        <f>CONCATENATE(B67," ",C67)</f>
        <v>87 Potrubí z trub z plastických hmot</v>
      </c>
      <c r="D84" s="177"/>
      <c r="E84" s="178"/>
      <c r="F84" s="179"/>
      <c r="G84" s="180">
        <f>SUM(G67:G83)</f>
        <v>0</v>
      </c>
      <c r="O84" s="161">
        <v>4</v>
      </c>
      <c r="BA84" s="181">
        <f>SUM(BA67:BA82)</f>
        <v>0</v>
      </c>
      <c r="BB84" s="181">
        <f>SUM(BB67:BB82)</f>
        <v>0</v>
      </c>
      <c r="BC84" s="181">
        <f>SUM(BC67:BC82)</f>
        <v>0</v>
      </c>
      <c r="BD84" s="181">
        <f>SUM(BD67:BD82)</f>
        <v>0</v>
      </c>
      <c r="BE84" s="181">
        <f>SUM(BE67:BE82)</f>
        <v>0</v>
      </c>
    </row>
    <row r="85" spans="1:15" ht="12.75">
      <c r="A85" s="154" t="s">
        <v>71</v>
      </c>
      <c r="B85" s="155" t="s">
        <v>129</v>
      </c>
      <c r="C85" s="156" t="s">
        <v>130</v>
      </c>
      <c r="D85" s="157"/>
      <c r="E85" s="158"/>
      <c r="F85" s="158"/>
      <c r="G85" s="159"/>
      <c r="H85" s="160"/>
      <c r="I85" s="160"/>
      <c r="O85" s="161">
        <v>1</v>
      </c>
    </row>
    <row r="86" spans="1:104" ht="12.75">
      <c r="A86" s="162">
        <v>35</v>
      </c>
      <c r="B86" s="163" t="s">
        <v>131</v>
      </c>
      <c r="C86" s="164" t="s">
        <v>132</v>
      </c>
      <c r="D86" s="165" t="s">
        <v>119</v>
      </c>
      <c r="E86" s="166">
        <f>35+6</f>
        <v>41</v>
      </c>
      <c r="F86" s="166"/>
      <c r="G86" s="167">
        <f>E86*F86</f>
        <v>0</v>
      </c>
      <c r="O86" s="161">
        <v>2</v>
      </c>
      <c r="AA86" s="139">
        <v>12</v>
      </c>
      <c r="AB86" s="139">
        <v>0</v>
      </c>
      <c r="AC86" s="139">
        <v>25</v>
      </c>
      <c r="AZ86" s="139">
        <v>1</v>
      </c>
      <c r="BA86" s="139">
        <f>IF(AZ86=1,G86,0)</f>
        <v>0</v>
      </c>
      <c r="BB86" s="139">
        <f>IF(AZ86=2,G86,0)</f>
        <v>0</v>
      </c>
      <c r="BC86" s="139">
        <f>IF(AZ86=3,G86,0)</f>
        <v>0</v>
      </c>
      <c r="BD86" s="139">
        <f>IF(AZ86=4,G86,0)</f>
        <v>0</v>
      </c>
      <c r="BE86" s="139">
        <f>IF(AZ86=5,G86,0)</f>
        <v>0</v>
      </c>
      <c r="CA86" s="168">
        <v>12</v>
      </c>
      <c r="CB86" s="168">
        <v>0</v>
      </c>
      <c r="CZ86" s="139">
        <v>0</v>
      </c>
    </row>
    <row r="87" spans="1:104" ht="12.75">
      <c r="A87" s="162">
        <v>36</v>
      </c>
      <c r="B87" s="163" t="s">
        <v>133</v>
      </c>
      <c r="C87" s="164" t="s">
        <v>134</v>
      </c>
      <c r="D87" s="165" t="s">
        <v>107</v>
      </c>
      <c r="E87" s="166">
        <v>0.2</v>
      </c>
      <c r="F87" s="166"/>
      <c r="G87" s="167">
        <f>E87*F87</f>
        <v>0</v>
      </c>
      <c r="O87" s="161">
        <v>2</v>
      </c>
      <c r="AA87" s="139">
        <v>7</v>
      </c>
      <c r="AB87" s="139">
        <v>1</v>
      </c>
      <c r="AC87" s="139">
        <v>2</v>
      </c>
      <c r="AZ87" s="139">
        <v>1</v>
      </c>
      <c r="BA87" s="139">
        <f>IF(AZ87=1,G87,0)</f>
        <v>0</v>
      </c>
      <c r="BB87" s="139">
        <f>IF(AZ87=2,G87,0)</f>
        <v>0</v>
      </c>
      <c r="BC87" s="139">
        <f>IF(AZ87=3,G87,0)</f>
        <v>0</v>
      </c>
      <c r="BD87" s="139">
        <f>IF(AZ87=4,G87,0)</f>
        <v>0</v>
      </c>
      <c r="BE87" s="139">
        <f>IF(AZ87=5,G87,0)</f>
        <v>0</v>
      </c>
      <c r="CA87" s="168">
        <v>7</v>
      </c>
      <c r="CB87" s="168">
        <v>1</v>
      </c>
      <c r="CZ87" s="139">
        <v>0</v>
      </c>
    </row>
    <row r="88" spans="1:57" ht="12.75">
      <c r="A88" s="174"/>
      <c r="B88" s="175" t="s">
        <v>75</v>
      </c>
      <c r="C88" s="176" t="str">
        <f>CONCATENATE(B85," ",C85)</f>
        <v>89 Ostatní konstrukce na trubním vedení</v>
      </c>
      <c r="D88" s="177"/>
      <c r="E88" s="178"/>
      <c r="F88" s="179"/>
      <c r="G88" s="180">
        <f>SUM(G85:G87)</f>
        <v>0</v>
      </c>
      <c r="O88" s="161">
        <v>4</v>
      </c>
      <c r="BA88" s="181">
        <f>SUM(BA73:BA87)</f>
        <v>0</v>
      </c>
      <c r="BB88" s="181">
        <f>SUM(BB73:BB87)</f>
        <v>0</v>
      </c>
      <c r="BC88" s="181">
        <f>SUM(BC73:BC87)</f>
        <v>0</v>
      </c>
      <c r="BD88" s="181">
        <f>SUM(BD73:BD87)</f>
        <v>0</v>
      </c>
      <c r="BE88" s="181">
        <f>SUM(BE73:BE87)</f>
        <v>0</v>
      </c>
    </row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</sheetData>
  <sheetProtection/>
  <mergeCells count="28">
    <mergeCell ref="C43:D43"/>
    <mergeCell ref="C69:D69"/>
    <mergeCell ref="C39:D39"/>
    <mergeCell ref="C55:D55"/>
    <mergeCell ref="C65:D65"/>
    <mergeCell ref="C49:D49"/>
    <mergeCell ref="C47:D47"/>
    <mergeCell ref="C57:D57"/>
    <mergeCell ref="C59:D59"/>
    <mergeCell ref="C40:D40"/>
    <mergeCell ref="A1:G1"/>
    <mergeCell ref="A3:B3"/>
    <mergeCell ref="A4:B4"/>
    <mergeCell ref="E4:G4"/>
    <mergeCell ref="C14:D14"/>
    <mergeCell ref="C18:D18"/>
    <mergeCell ref="C15:D15"/>
    <mergeCell ref="C3:D3"/>
    <mergeCell ref="C23:D23"/>
    <mergeCell ref="C19:D19"/>
    <mergeCell ref="C27:D27"/>
    <mergeCell ref="C41:D41"/>
    <mergeCell ref="C22:D22"/>
    <mergeCell ref="C26:D26"/>
    <mergeCell ref="C33:D33"/>
    <mergeCell ref="C30:D30"/>
    <mergeCell ref="C37:D37"/>
    <mergeCell ref="C38:D3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Projektinvest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Jana</cp:lastModifiedBy>
  <cp:lastPrinted>2020-07-10T11:11:03Z</cp:lastPrinted>
  <dcterms:created xsi:type="dcterms:W3CDTF">2013-10-02T08:39:29Z</dcterms:created>
  <dcterms:modified xsi:type="dcterms:W3CDTF">2020-07-10T13:31:40Z</dcterms:modified>
  <cp:category/>
  <cp:version/>
  <cp:contentType/>
  <cp:contentStatus/>
</cp:coreProperties>
</file>